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hnologies\_STOVES\Testing of All Stoves\Formulas and theory\"/>
    </mc:Choice>
  </mc:AlternateContent>
  <bookViews>
    <workbookView xWindow="120" yWindow="135" windowWidth="11415" windowHeight="484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O16" i="1" l="1"/>
  <c r="O15" i="1"/>
  <c r="O13" i="1"/>
  <c r="O12" i="1"/>
  <c r="O10" i="1"/>
  <c r="O9" i="1"/>
  <c r="J30" i="1"/>
  <c r="H30" i="1"/>
  <c r="F30" i="1"/>
  <c r="L29" i="1"/>
  <c r="K29" i="1"/>
  <c r="J29" i="1"/>
  <c r="I29" i="1"/>
  <c r="H29" i="1"/>
  <c r="G29" i="1"/>
  <c r="F29" i="1"/>
  <c r="L24" i="1"/>
  <c r="L21" i="1"/>
  <c r="L22" i="1"/>
  <c r="J21" i="1"/>
  <c r="L15" i="1"/>
  <c r="K15" i="1"/>
  <c r="J15" i="1"/>
  <c r="I15" i="1"/>
  <c r="H15" i="1"/>
  <c r="G15" i="1"/>
  <c r="L12" i="1"/>
  <c r="K12" i="1"/>
  <c r="J12" i="1"/>
  <c r="I12" i="1"/>
  <c r="N12" i="1" s="1"/>
  <c r="H12" i="1"/>
  <c r="G12" i="1"/>
  <c r="F15" i="1"/>
  <c r="F12" i="1"/>
  <c r="F9" i="1"/>
  <c r="L9" i="1"/>
  <c r="K9" i="1"/>
  <c r="J9" i="1"/>
  <c r="I9" i="1"/>
  <c r="H9" i="1"/>
  <c r="G9" i="1"/>
  <c r="K22" i="1"/>
  <c r="J23" i="1"/>
  <c r="H23" i="1"/>
  <c r="J22" i="1"/>
  <c r="I22" i="1"/>
  <c r="H22" i="1"/>
  <c r="G22" i="1"/>
  <c r="K21" i="1"/>
  <c r="I21" i="1"/>
  <c r="H21" i="1"/>
  <c r="G21" i="1"/>
  <c r="F21" i="1"/>
  <c r="F22" i="1"/>
  <c r="N16" i="1"/>
  <c r="N13" i="1"/>
  <c r="N10" i="1"/>
  <c r="N29" i="1" l="1"/>
  <c r="O21" i="1"/>
  <c r="K24" i="1"/>
  <c r="J24" i="1"/>
  <c r="O29" i="1"/>
  <c r="O22" i="1"/>
  <c r="K31" i="1"/>
  <c r="I31" i="1"/>
  <c r="G31" i="1"/>
  <c r="L31" i="1"/>
  <c r="J31" i="1"/>
  <c r="H31" i="1"/>
  <c r="F31" i="1"/>
  <c r="L30" i="1"/>
  <c r="G30" i="1"/>
  <c r="I30" i="1"/>
  <c r="K30" i="1"/>
  <c r="G24" i="1"/>
  <c r="H24" i="1"/>
  <c r="I24" i="1"/>
  <c r="F24" i="1"/>
  <c r="F23" i="1"/>
  <c r="G23" i="1"/>
  <c r="I23" i="1"/>
  <c r="K23" i="1"/>
  <c r="L23" i="1"/>
  <c r="N9" i="1"/>
  <c r="M22" i="1"/>
  <c r="N15" i="1"/>
  <c r="N22" i="1"/>
  <c r="N21" i="1"/>
  <c r="P22" i="1" l="1"/>
  <c r="N23" i="1"/>
  <c r="M23" i="1"/>
  <c r="M24" i="1" s="1"/>
  <c r="O24" i="1"/>
  <c r="O23" i="1"/>
  <c r="O31" i="1"/>
  <c r="O30" i="1"/>
  <c r="P30" i="1" s="1"/>
  <c r="K32" i="1"/>
  <c r="I32" i="1"/>
  <c r="G32" i="1"/>
  <c r="L32" i="1"/>
  <c r="J32" i="1"/>
  <c r="H32" i="1"/>
  <c r="F32" i="1"/>
  <c r="M30" i="1"/>
  <c r="M31" i="1" s="1"/>
  <c r="N31" i="1"/>
  <c r="N30" i="1"/>
  <c r="N24" i="1"/>
  <c r="P23" i="1" l="1"/>
  <c r="P24" i="1" s="1"/>
  <c r="Q22" i="1"/>
  <c r="O32" i="1"/>
  <c r="M32" i="1"/>
  <c r="P31" i="1"/>
  <c r="N32" i="1"/>
  <c r="Q23" i="1" l="1"/>
  <c r="P32" i="1"/>
  <c r="Q24" i="1" l="1"/>
</calcChain>
</file>

<file path=xl/sharedStrings.xml><?xml version="1.0" encoding="utf-8"?>
<sst xmlns="http://schemas.openxmlformats.org/spreadsheetml/2006/main" count="71" uniqueCount="55">
  <si>
    <t>End of Simmering Phase</t>
  </si>
  <si>
    <t>End of Hot start phase</t>
  </si>
  <si>
    <t>Fuel analysis stacked bar chart</t>
  </si>
  <si>
    <t>C</t>
  </si>
  <si>
    <t>S</t>
  </si>
  <si>
    <t>Ash</t>
  </si>
  <si>
    <t>Moisture</t>
  </si>
  <si>
    <t>End of Boiling phase</t>
  </si>
  <si>
    <t>H</t>
  </si>
  <si>
    <t>O</t>
  </si>
  <si>
    <t>Total</t>
  </si>
  <si>
    <t>28 July 2008</t>
  </si>
  <si>
    <t>N</t>
  </si>
  <si>
    <t>http://www.woodgas.com/proximat.htm</t>
  </si>
  <si>
    <t xml:space="preserve">C is the (mass) fraction of carbon, H of hydrogen, O of oxygen, S of sulfur, N of nitrogen, A of ash; </t>
  </si>
  <si>
    <t>% by mass of real biomass (Eucalyptus)</t>
  </si>
  <si>
    <t>Eucalyptus Camaldulensis, ibid</t>
  </si>
  <si>
    <t>Ref</t>
  </si>
  <si>
    <t>Calculating the heat content of biomass</t>
  </si>
  <si>
    <t>Sample Hardwood and Softwood</t>
  </si>
  <si>
    <t>Douglas Fir</t>
  </si>
  <si>
    <t>Calculated from ibid</t>
  </si>
  <si>
    <t>Wood</t>
  </si>
  <si>
    <t>Initial Fuel supply</t>
  </si>
  <si>
    <t>H2O</t>
  </si>
  <si>
    <t>remaining</t>
  </si>
  <si>
    <t>Heat</t>
  </si>
  <si>
    <t>Eucalyptus Camaldulensis</t>
  </si>
  <si>
    <t>LHV, in fuel</t>
  </si>
  <si>
    <t>% by mass of Douglas Fir</t>
  </si>
  <si>
    <t>Charcoal in the hearth+on the fuel (hot)</t>
  </si>
  <si>
    <t>Ambient temperature</t>
  </si>
  <si>
    <t>Local Boiling Point</t>
  </si>
  <si>
    <t>Ash in</t>
  </si>
  <si>
    <t>Pan</t>
  </si>
  <si>
    <t>C Pemberton-Pigott</t>
  </si>
  <si>
    <t>Mass of</t>
  </si>
  <si>
    <t>all fuel</t>
  </si>
  <si>
    <t>Char</t>
  </si>
  <si>
    <t>only</t>
  </si>
  <si>
    <t>Fuel</t>
  </si>
  <si>
    <t>released</t>
  </si>
  <si>
    <t>Difference</t>
  </si>
  <si>
    <t>ANALYSIS - CURRENT  UCB-WBT</t>
  </si>
  <si>
    <t>ANALYSIS - PROPOSED</t>
  </si>
  <si>
    <t>Assumed</t>
  </si>
  <si>
    <t>Actual</t>
  </si>
  <si>
    <t>Top loading stove</t>
  </si>
  <si>
    <t>(+=high)</t>
  </si>
  <si>
    <t>If the moisture level of the fuel is not measured at each stage of the test, the calculation of the</t>
  </si>
  <si>
    <t>heat released may be significantly over-estimated. Enter sample test results in both charts</t>
  </si>
  <si>
    <t>to see what the difference between the methods is. A '+' difference means the heat out is high.</t>
  </si>
  <si>
    <t>(-=Low)</t>
  </si>
  <si>
    <t xml:space="preserve">HHV (in kJ/g) = 0.3491C + 1.41 H  - 0.1034 O + 0.1005 S - 0.0151 N - 0.0211 A </t>
  </si>
  <si>
    <t>LHV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</si>
</sst>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7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quotePrefix="1" applyNumberFormat="1"/>
    <xf numFmtId="10" fontId="0" fillId="2" borderId="0" xfId="0" applyNumberFormat="1" applyFill="1" applyProtection="1">
      <protection locked="0"/>
    </xf>
    <xf numFmtId="165" fontId="0" fillId="2" borderId="0" xfId="1" applyNumberFormat="1" applyFont="1" applyFill="1" applyProtection="1">
      <protection locked="0"/>
    </xf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164" fontId="3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6" fontId="0" fillId="2" borderId="0" xfId="0" applyNumberFormat="1" applyFill="1" applyProtection="1">
      <protection locked="0"/>
    </xf>
    <xf numFmtId="2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4" fillId="0" borderId="0" xfId="0" applyFont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43" fontId="0" fillId="0" borderId="0" xfId="0" applyNumberFormat="1" applyBorder="1"/>
    <xf numFmtId="167" fontId="0" fillId="0" borderId="0" xfId="0" applyNumberFormat="1" applyBorder="1"/>
    <xf numFmtId="16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0" fillId="0" borderId="0" xfId="0" applyBorder="1"/>
    <xf numFmtId="0" fontId="0" fillId="0" borderId="5" xfId="0" applyBorder="1"/>
    <xf numFmtId="164" fontId="0" fillId="0" borderId="6" xfId="0" applyNumberFormat="1" applyBorder="1"/>
    <xf numFmtId="43" fontId="0" fillId="0" borderId="7" xfId="0" applyNumberFormat="1" applyBorder="1"/>
    <xf numFmtId="167" fontId="0" fillId="0" borderId="7" xfId="0" applyNumberFormat="1" applyBorder="1"/>
    <xf numFmtId="43" fontId="0" fillId="0" borderId="7" xfId="1" applyFont="1" applyBorder="1"/>
    <xf numFmtId="2" fontId="0" fillId="0" borderId="7" xfId="0" applyNumberFormat="1" applyBorder="1"/>
    <xf numFmtId="165" fontId="0" fillId="2" borderId="1" xfId="1" applyNumberFormat="1" applyFont="1" applyFill="1" applyBorder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166" fontId="0" fillId="2" borderId="3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4" fontId="0" fillId="2" borderId="0" xfId="1" applyNumberFormat="1" applyFon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5" fontId="0" fillId="2" borderId="6" xfId="1" applyNumberFormat="1" applyFont="1" applyFill="1" applyBorder="1" applyProtection="1">
      <protection locked="0"/>
    </xf>
    <xf numFmtId="164" fontId="0" fillId="2" borderId="7" xfId="1" applyNumberFormat="1" applyFon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164" fontId="0" fillId="0" borderId="1" xfId="0" applyNumberFormat="1" applyBorder="1"/>
    <xf numFmtId="43" fontId="0" fillId="0" borderId="2" xfId="0" applyNumberFormat="1" applyBorder="1"/>
    <xf numFmtId="167" fontId="0" fillId="0" borderId="2" xfId="0" applyNumberFormat="1" applyBorder="1"/>
    <xf numFmtId="164" fontId="0" fillId="0" borderId="2" xfId="0" applyNumberFormat="1" applyBorder="1"/>
    <xf numFmtId="43" fontId="0" fillId="0" borderId="2" xfId="1" applyFont="1" applyBorder="1"/>
    <xf numFmtId="2" fontId="0" fillId="0" borderId="2" xfId="0" applyNumberFormat="1" applyBorder="1"/>
    <xf numFmtId="166" fontId="0" fillId="2" borderId="2" xfId="0" applyNumberForma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166" fontId="0" fillId="2" borderId="7" xfId="0" applyNumberFormat="1" applyFill="1" applyBorder="1" applyProtection="1">
      <protection locked="0"/>
    </xf>
    <xf numFmtId="10" fontId="0" fillId="0" borderId="0" xfId="2" applyNumberFormat="1" applyFont="1" applyBorder="1"/>
    <xf numFmtId="0" fontId="0" fillId="0" borderId="7" xfId="0" applyBorder="1"/>
    <xf numFmtId="0" fontId="0" fillId="0" borderId="1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164" fontId="0" fillId="0" borderId="7" xfId="1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0" fontId="0" fillId="0" borderId="10" xfId="2" applyNumberFormat="1" applyFont="1" applyBorder="1"/>
    <xf numFmtId="10" fontId="0" fillId="0" borderId="11" xfId="2" applyNumberFormat="1" applyFont="1" applyBorder="1"/>
    <xf numFmtId="0" fontId="0" fillId="0" borderId="9" xfId="0" applyBorder="1"/>
    <xf numFmtId="0" fontId="0" fillId="0" borderId="11" xfId="0" applyBorder="1"/>
    <xf numFmtId="43" fontId="2" fillId="0" borderId="5" xfId="0" applyNumberFormat="1" applyFont="1" applyBorder="1"/>
    <xf numFmtId="43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10" fontId="0" fillId="2" borderId="11" xfId="0" applyNumberFormat="1" applyFill="1" applyBorder="1" applyProtection="1">
      <protection locked="0"/>
    </xf>
    <xf numFmtId="43" fontId="2" fillId="0" borderId="0" xfId="0" applyNumberFormat="1" applyFont="1" applyBorder="1"/>
    <xf numFmtId="0" fontId="2" fillId="0" borderId="10" xfId="0" applyFont="1" applyBorder="1" applyAlignment="1">
      <alignment horizontal="center"/>
    </xf>
    <xf numFmtId="0" fontId="0" fillId="0" borderId="12" xfId="0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43" fontId="2" fillId="0" borderId="10" xfId="0" applyNumberFormat="1" applyFont="1" applyBorder="1"/>
    <xf numFmtId="43" fontId="2" fillId="0" borderId="11" xfId="0" applyNumberFormat="1" applyFont="1" applyBorder="1"/>
    <xf numFmtId="0" fontId="2" fillId="0" borderId="1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Composition, Constant moisture</a:t>
            </a:r>
          </a:p>
        </c:rich>
      </c:tx>
      <c:layout>
        <c:manualLayout>
          <c:xMode val="edge"/>
          <c:yMode val="edge"/>
          <c:x val="0.20096678597311901"/>
          <c:y val="5.558913356456565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Sheet1!$L$19</c:f>
              <c:strCache>
                <c:ptCount val="1"/>
                <c:pt idx="0">
                  <c:v>Ash</c:v>
                </c:pt>
              </c:strCache>
            </c:strRef>
          </c:tx>
          <c:invertIfNegative val="0"/>
          <c:cat>
            <c:strRef>
              <c:f>Sheet1!$B$21:$B$24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Sheet1!$L$21:$L$24</c:f>
              <c:numCache>
                <c:formatCode>#,##0.00_ ;[Red]\-#,##0.00\ </c:formatCode>
                <c:ptCount val="4"/>
                <c:pt idx="0">
                  <c:v>7.5200000000000005</c:v>
                </c:pt>
                <c:pt idx="1">
                  <c:v>5.7123587878787871</c:v>
                </c:pt>
                <c:pt idx="2">
                  <c:v>4.6344533333333331</c:v>
                </c:pt>
                <c:pt idx="3" formatCode="_(* #,##0.00_);_(* \(#,##0.00\);_(* &quot;-&quot;??_);_(@_)">
                  <c:v>3.0384969696969693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2-43EB-846E-54750D83F459}"/>
            </c:ext>
          </c:extLst>
        </c:ser>
        <c:ser>
          <c:idx val="5"/>
          <c:order val="1"/>
          <c:tx>
            <c:strRef>
              <c:f>Sheet1!$K$19</c:f>
              <c:strCache>
                <c:ptCount val="1"/>
                <c:pt idx="0">
                  <c:v>N</c:v>
                </c:pt>
              </c:strCache>
            </c:strRef>
          </c:tx>
          <c:invertIfNegative val="0"/>
          <c:cat>
            <c:strRef>
              <c:f>Sheet1!$B$21:$B$24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Sheet1!$K$21:$K$24</c:f>
              <c:numCache>
                <c:formatCode>_(* #,##0.00_);_(* \(#,##0.00\);_(* "-"??_);_(@_)</c:formatCode>
                <c:ptCount val="4"/>
                <c:pt idx="0">
                  <c:v>0.94000000000000006</c:v>
                </c:pt>
                <c:pt idx="1">
                  <c:v>0.81975191919191914</c:v>
                </c:pt>
                <c:pt idx="2">
                  <c:v>0.75819555555555551</c:v>
                </c:pt>
                <c:pt idx="3">
                  <c:v>0.64407979797979786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2-43EB-846E-54750D83F459}"/>
            </c:ext>
          </c:extLst>
        </c:ser>
        <c:ser>
          <c:idx val="4"/>
          <c:order val="2"/>
          <c:tx>
            <c:strRef>
              <c:f>Sheet1!$J$19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Sheet1!$B$21:$B$24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Sheet1!$J$21:$J$24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2-43EB-846E-54750D83F459}"/>
            </c:ext>
          </c:extLst>
        </c:ser>
        <c:ser>
          <c:idx val="3"/>
          <c:order val="3"/>
          <c:tx>
            <c:strRef>
              <c:f>Sheet1!$I$19</c:f>
              <c:strCache>
                <c:ptCount val="1"/>
                <c:pt idx="0">
                  <c:v>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Sheet1!$B$21:$B$24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Sheet1!$I$21:$I$24</c:f>
              <c:numCache>
                <c:formatCode>_(* #,##0.00_);_(* \(#,##0.00\);_(* "-"??_);_(@_)</c:formatCode>
                <c:ptCount val="4"/>
                <c:pt idx="0">
                  <c:v>380.70000000000005</c:v>
                </c:pt>
                <c:pt idx="1">
                  <c:v>276.40417373737375</c:v>
                </c:pt>
                <c:pt idx="2">
                  <c:v>212.98475555555558</c:v>
                </c:pt>
                <c:pt idx="3">
                  <c:v>121.86393434343434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72-43EB-846E-54750D83F459}"/>
            </c:ext>
          </c:extLst>
        </c:ser>
        <c:ser>
          <c:idx val="2"/>
          <c:order val="4"/>
          <c:tx>
            <c:strRef>
              <c:f>Sheet1!$H$19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Sheet1!$B$21:$B$24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Sheet1!$H$21:$H$24</c:f>
              <c:numCache>
                <c:formatCode>_(* #,##0.00_);_(* \(#,##0.00\);_(* "-"??_);_(@_)</c:formatCode>
                <c:ptCount val="4"/>
                <c:pt idx="0">
                  <c:v>59.22</c:v>
                </c:pt>
                <c:pt idx="1">
                  <c:v>43.51871434343434</c:v>
                </c:pt>
                <c:pt idx="2">
                  <c:v>34.015208888888885</c:v>
                </c:pt>
                <c:pt idx="3">
                  <c:v>20.262885858585857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72-43EB-846E-54750D83F459}"/>
            </c:ext>
          </c:extLst>
        </c:ser>
        <c:ser>
          <c:idx val="1"/>
          <c:order val="5"/>
          <c:tx>
            <c:strRef>
              <c:f>Sheet1!$G$19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Sheet1!$B$21:$B$24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Sheet1!$G$21:$G$24</c:f>
              <c:numCache>
                <c:formatCode>_(* #,##0.00_);_(* \(#,##0.00\);_(* "-"??_);_(@_)</c:formatCode>
                <c:ptCount val="4"/>
                <c:pt idx="0">
                  <c:v>491.62</c:v>
                </c:pt>
                <c:pt idx="1">
                  <c:v>380.10500121212124</c:v>
                </c:pt>
                <c:pt idx="2">
                  <c:v>314.24738666666667</c:v>
                </c:pt>
                <c:pt idx="3">
                  <c:v>215.29060303030303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72-43EB-846E-54750D83F459}"/>
            </c:ext>
          </c:extLst>
        </c:ser>
        <c:ser>
          <c:idx val="0"/>
          <c:order val="6"/>
          <c:tx>
            <c:strRef>
              <c:f>Sheet1!$F$19</c:f>
              <c:strCache>
                <c:ptCount val="1"/>
                <c:pt idx="0">
                  <c:v>H2O</c:v>
                </c:pt>
              </c:strCache>
            </c:strRef>
          </c:tx>
          <c:invertIfNegative val="0"/>
          <c:cat>
            <c:strRef>
              <c:f>Sheet1!$B$21:$B$24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Sheet1!$F$21:$F$24</c:f>
              <c:numCache>
                <c:formatCode>_-* #,##0.0_-;\-* #,##0.0_-;_-* "-"??_-;_-@_-</c:formatCode>
                <c:ptCount val="4"/>
                <c:pt idx="0">
                  <c:v>60</c:v>
                </c:pt>
                <c:pt idx="1">
                  <c:v>43.44</c:v>
                </c:pt>
                <c:pt idx="2">
                  <c:v>33.36</c:v>
                </c:pt>
                <c:pt idx="3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72-43EB-846E-54750D83F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02688"/>
        <c:axId val="56955264"/>
      </c:barChart>
      <c:catAx>
        <c:axId val="5480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955264"/>
        <c:crosses val="autoZero"/>
        <c:auto val="1"/>
        <c:lblAlgn val="ctr"/>
        <c:lblOffset val="100"/>
        <c:noMultiLvlLbl val="0"/>
      </c:catAx>
      <c:valAx>
        <c:axId val="5695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Grams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5480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Composition, Actual</a:t>
            </a:r>
          </a:p>
        </c:rich>
      </c:tx>
      <c:layout>
        <c:manualLayout>
          <c:xMode val="edge"/>
          <c:yMode val="edge"/>
          <c:x val="0.24832313748041807"/>
          <c:y val="5.558913356456565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Sheet1!$L$19</c:f>
              <c:strCache>
                <c:ptCount val="1"/>
                <c:pt idx="0">
                  <c:v>Ash</c:v>
                </c:pt>
              </c:strCache>
            </c:strRef>
          </c:tx>
          <c:invertIfNegative val="0"/>
          <c:cat>
            <c:strRef>
              <c:f>Sheet1!$B$29:$B$32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Sheet1!$L$29:$L$32</c:f>
              <c:numCache>
                <c:formatCode>#,##0.00_ ;[Red]\-#,##0.00\ </c:formatCode>
                <c:ptCount val="4"/>
                <c:pt idx="0">
                  <c:v>6.32</c:v>
                </c:pt>
                <c:pt idx="1">
                  <c:v>5.1331587878787879</c:v>
                </c:pt>
                <c:pt idx="2">
                  <c:v>4.3675733333333335</c:v>
                </c:pt>
                <c:pt idx="3">
                  <c:v>3.06369696969697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4-4F8B-97CC-819857B6DEF5}"/>
            </c:ext>
          </c:extLst>
        </c:ser>
        <c:ser>
          <c:idx val="5"/>
          <c:order val="1"/>
          <c:tx>
            <c:strRef>
              <c:f>Sheet1!$K$19</c:f>
              <c:strCache>
                <c:ptCount val="1"/>
                <c:pt idx="0">
                  <c:v>N</c:v>
                </c:pt>
              </c:strCache>
            </c:strRef>
          </c:tx>
          <c:invertIfNegative val="0"/>
          <c:cat>
            <c:strRef>
              <c:f>Sheet1!$B$29:$B$32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Sheet1!$K$29:$K$32</c:f>
              <c:numCache>
                <c:formatCode>_(* #,##0.00_);_(* \(#,##0.00\);_(* "-"??_);_(@_)</c:formatCode>
                <c:ptCount val="4"/>
                <c:pt idx="0">
                  <c:v>0.79</c:v>
                </c:pt>
                <c:pt idx="1">
                  <c:v>0.74735191919191923</c:v>
                </c:pt>
                <c:pt idx="2">
                  <c:v>0.72483555555555557</c:v>
                </c:pt>
                <c:pt idx="3">
                  <c:v>0.64722979797979796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C4-4F8B-97CC-819857B6DEF5}"/>
            </c:ext>
          </c:extLst>
        </c:ser>
        <c:ser>
          <c:idx val="4"/>
          <c:order val="2"/>
          <c:tx>
            <c:strRef>
              <c:f>Sheet1!$J$19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Sheet1!$B$29:$B$32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Sheet1!$J$29:$J$32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C4-4F8B-97CC-819857B6DEF5}"/>
            </c:ext>
          </c:extLst>
        </c:ser>
        <c:ser>
          <c:idx val="3"/>
          <c:order val="3"/>
          <c:tx>
            <c:strRef>
              <c:f>Sheet1!$I$19</c:f>
              <c:strCache>
                <c:ptCount val="1"/>
                <c:pt idx="0">
                  <c:v>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Sheet1!$B$29:$B$32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Sheet1!$I$29:$I$32</c:f>
              <c:numCache>
                <c:formatCode>_(* #,##0.00_);_(* \(#,##0.00\);_(* "-"??_);_(@_)</c:formatCode>
                <c:ptCount val="4"/>
                <c:pt idx="0">
                  <c:v>319.95000000000005</c:v>
                </c:pt>
                <c:pt idx="1">
                  <c:v>247.08217373737375</c:v>
                </c:pt>
                <c:pt idx="2">
                  <c:v>199.47395555555559</c:v>
                </c:pt>
                <c:pt idx="3">
                  <c:v>123.13968434343435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C4-4F8B-97CC-819857B6DEF5}"/>
            </c:ext>
          </c:extLst>
        </c:ser>
        <c:ser>
          <c:idx val="2"/>
          <c:order val="4"/>
          <c:tx>
            <c:strRef>
              <c:f>Sheet1!$H$19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Sheet1!$B$29:$B$32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Sheet1!$H$29:$H$32</c:f>
              <c:numCache>
                <c:formatCode>_(* #,##0.00_);_(* \(#,##0.00\);_(* "-"??_);_(@_)</c:formatCode>
                <c:ptCount val="4"/>
                <c:pt idx="0">
                  <c:v>49.77</c:v>
                </c:pt>
                <c:pt idx="1">
                  <c:v>38.95751434343434</c:v>
                </c:pt>
                <c:pt idx="2">
                  <c:v>31.913528888888891</c:v>
                </c:pt>
                <c:pt idx="3">
                  <c:v>20.461335858585858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C4-4F8B-97CC-819857B6DEF5}"/>
            </c:ext>
          </c:extLst>
        </c:ser>
        <c:ser>
          <c:idx val="1"/>
          <c:order val="5"/>
          <c:tx>
            <c:strRef>
              <c:f>Sheet1!$G$19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Sheet1!$B$29:$B$32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Sheet1!$G$29:$G$32</c:f>
              <c:numCache>
                <c:formatCode>_(* #,##0.00_);_(* \(#,##0.00\);_(* "-"??_);_(@_)</c:formatCode>
                <c:ptCount val="4"/>
                <c:pt idx="0">
                  <c:v>413.17</c:v>
                </c:pt>
                <c:pt idx="1">
                  <c:v>342.23980121212122</c:v>
                </c:pt>
                <c:pt idx="2">
                  <c:v>296.80010666666669</c:v>
                </c:pt>
                <c:pt idx="3">
                  <c:v>216.93805303030305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C4-4F8B-97CC-819857B6DEF5}"/>
            </c:ext>
          </c:extLst>
        </c:ser>
        <c:ser>
          <c:idx val="0"/>
          <c:order val="6"/>
          <c:tx>
            <c:strRef>
              <c:f>Sheet1!$F$19</c:f>
              <c:strCache>
                <c:ptCount val="1"/>
                <c:pt idx="0">
                  <c:v>H2O</c:v>
                </c:pt>
              </c:strCache>
            </c:strRef>
          </c:tx>
          <c:invertIfNegative val="0"/>
          <c:cat>
            <c:strRef>
              <c:f>Sheet1!$B$29:$B$32</c:f>
              <c:strCache>
                <c:ptCount val="4"/>
                <c:pt idx="0">
                  <c:v>Initial Fuel supply</c:v>
                </c:pt>
                <c:pt idx="1">
                  <c:v>End of Boiling phase</c:v>
                </c:pt>
                <c:pt idx="2">
                  <c:v>End of Simmering Phase</c:v>
                </c:pt>
                <c:pt idx="3">
                  <c:v>End of Hot start phase</c:v>
                </c:pt>
              </c:strCache>
            </c:strRef>
          </c:cat>
          <c:val>
            <c:numRef>
              <c:f>Sheet1!$F$29:$F$32</c:f>
              <c:numCache>
                <c:formatCode>_-* #,##0.0_-;\-* #,##0.0_-;_-* "-"??_-;_-@_-</c:formatCode>
                <c:ptCount val="4"/>
                <c:pt idx="0">
                  <c:v>210</c:v>
                </c:pt>
                <c:pt idx="1">
                  <c:v>115.84</c:v>
                </c:pt>
                <c:pt idx="2">
                  <c:v>66.72</c:v>
                </c:pt>
                <c:pt idx="3">
                  <c:v>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C4-4F8B-97CC-819857B6D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591936"/>
        <c:axId val="129606016"/>
      </c:barChart>
      <c:catAx>
        <c:axId val="12959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606016"/>
        <c:crosses val="autoZero"/>
        <c:auto val="1"/>
        <c:lblAlgn val="ctr"/>
        <c:lblOffset val="100"/>
        <c:noMultiLvlLbl val="0"/>
      </c:catAx>
      <c:valAx>
        <c:axId val="12960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Grams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2959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1250672</xdr:colOff>
      <xdr:row>33</xdr:row>
      <xdr:rowOff>8281</xdr:rowOff>
    </xdr:from>
    <xdr:to>
      <xdr:col>8</xdr:col>
      <xdr:colOff>405846</xdr:colOff>
      <xdr:row>47</xdr:row>
      <xdr:rowOff>82824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405848</xdr:colOff>
      <xdr:row>33</xdr:row>
      <xdr:rowOff>8283</xdr:rowOff>
    </xdr:from>
    <xdr:to>
      <xdr:col>17</xdr:col>
      <xdr:colOff>8282</xdr:colOff>
      <xdr:row>47</xdr:row>
      <xdr:rowOff>82826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542925</xdr:colOff>
      <xdr:row>21</xdr:row>
      <xdr:rowOff>104775</xdr:rowOff>
    </xdr:from>
    <xdr:to>
      <xdr:col>16</xdr:col>
      <xdr:colOff>152400</xdr:colOff>
      <xdr:row>29</xdr:row>
      <xdr:rowOff>38100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DFFC6A0-9350-4B17-AA14-624835949F8C}"/>
            </a:ext>
          </a:extLst>
        </xdr:cNvPr>
        <xdr:cNvCxnSpPr/>
      </xdr:nvCxnSpPr>
      <xdr:spPr>
        <a:xfrm flipH="1">
          <a:off x="10201275" y="4200525"/>
          <a:ext cx="219075" cy="1352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23</xdr:row>
      <xdr:rowOff>180975</xdr:rowOff>
    </xdr:from>
    <xdr:to>
      <xdr:col>16</xdr:col>
      <xdr:colOff>257175</xdr:colOff>
      <xdr:row>31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DE60BB2-C5E7-4E6D-889E-8A8C1EDACAA0}"/>
            </a:ext>
          </a:extLst>
        </xdr:cNvPr>
        <xdr:cNvCxnSpPr/>
      </xdr:nvCxnSpPr>
      <xdr:spPr>
        <a:xfrm flipH="1">
          <a:off x="10306050" y="4657725"/>
          <a:ext cx="219075" cy="1352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1"/>
  <sheetViews>
    <sheetView tabSelected="1" zoomScaleNormal="100" workbookViewId="0">
      <selection activeCell="G21" sqref="G21"/>
    </sheetView>
  </sheetViews>
  <sheetFormatPr defaultRowHeight="15" x14ac:dyDescent="0.25"/>
  <cols>
    <col min="1" max="1" width="3.42578125" customWidth="1"/>
    <col min="2" max="2" width="34.7109375" customWidth="1"/>
    <col min="3" max="3" width="8" bestFit="1" customWidth="1"/>
    <col min="4" max="4" width="6.42578125" style="16" bestFit="1" customWidth="1"/>
    <col min="5" max="5" width="9.140625" bestFit="1" customWidth="1"/>
    <col min="6" max="6" width="7.5703125" style="16" bestFit="1" customWidth="1"/>
    <col min="7" max="7" width="9" customWidth="1"/>
    <col min="8" max="8" width="7.28515625" bestFit="1" customWidth="1"/>
    <col min="9" max="10" width="8.42578125" bestFit="1" customWidth="1"/>
    <col min="11" max="11" width="7" customWidth="1"/>
    <col min="12" max="12" width="7.7109375" bestFit="1" customWidth="1"/>
    <col min="13" max="13" width="6.42578125" bestFit="1" customWidth="1"/>
    <col min="14" max="14" width="10.140625" bestFit="1" customWidth="1"/>
    <col min="15" max="15" width="11.140625" bestFit="1" customWidth="1"/>
    <col min="17" max="17" width="10.140625" customWidth="1"/>
  </cols>
  <sheetData>
    <row r="2" spans="1:16" ht="18.75" x14ac:dyDescent="0.3">
      <c r="B2" s="5" t="s">
        <v>2</v>
      </c>
      <c r="C2" s="5"/>
      <c r="D2" s="14"/>
      <c r="E2" s="2" t="s">
        <v>11</v>
      </c>
      <c r="F2" s="14"/>
      <c r="G2" s="83" t="s">
        <v>49</v>
      </c>
      <c r="H2" s="23"/>
      <c r="I2" s="23"/>
      <c r="J2" s="23"/>
      <c r="K2" s="23"/>
      <c r="L2" s="23"/>
      <c r="M2" s="23"/>
      <c r="N2" s="23"/>
      <c r="O2" s="23"/>
      <c r="P2" s="24"/>
    </row>
    <row r="3" spans="1:16" ht="18.75" x14ac:dyDescent="0.3">
      <c r="B3" s="5"/>
      <c r="C3" s="5"/>
      <c r="D3" s="14"/>
      <c r="E3" s="22" t="s">
        <v>35</v>
      </c>
      <c r="F3" s="14"/>
      <c r="G3" s="84" t="s">
        <v>50</v>
      </c>
      <c r="H3" s="31"/>
      <c r="I3" s="31"/>
      <c r="J3" s="31"/>
      <c r="K3" s="31"/>
      <c r="L3" s="31"/>
      <c r="M3" s="31"/>
      <c r="N3" s="31"/>
      <c r="O3" s="31"/>
      <c r="P3" s="32"/>
    </row>
    <row r="4" spans="1:16" x14ac:dyDescent="0.25">
      <c r="A4" t="s">
        <v>17</v>
      </c>
      <c r="B4" s="1" t="s">
        <v>18</v>
      </c>
      <c r="C4" s="1"/>
      <c r="D4" s="15"/>
      <c r="F4" s="15"/>
      <c r="G4" s="85" t="s">
        <v>51</v>
      </c>
      <c r="H4" s="57"/>
      <c r="I4" s="57"/>
      <c r="J4" s="57"/>
      <c r="K4" s="57"/>
      <c r="L4" s="57"/>
      <c r="M4" s="57"/>
      <c r="N4" s="57"/>
      <c r="O4" s="57"/>
      <c r="P4" s="68"/>
    </row>
    <row r="5" spans="1:16" x14ac:dyDescent="0.25">
      <c r="A5">
        <v>1</v>
      </c>
      <c r="B5" t="s">
        <v>53</v>
      </c>
      <c r="J5" s="10">
        <v>20</v>
      </c>
      <c r="K5" t="s">
        <v>31</v>
      </c>
    </row>
    <row r="6" spans="1:16" x14ac:dyDescent="0.25">
      <c r="A6">
        <v>1</v>
      </c>
      <c r="B6" t="s">
        <v>14</v>
      </c>
      <c r="J6" s="10">
        <v>100</v>
      </c>
      <c r="K6" t="s">
        <v>32</v>
      </c>
    </row>
    <row r="8" spans="1:16" s="6" customFormat="1" x14ac:dyDescent="0.25">
      <c r="B8" s="7" t="s">
        <v>19</v>
      </c>
      <c r="C8" s="7"/>
      <c r="D8" s="17"/>
      <c r="E8" s="6" t="s">
        <v>6</v>
      </c>
      <c r="F8" s="17" t="s">
        <v>24</v>
      </c>
      <c r="G8" s="6" t="s">
        <v>3</v>
      </c>
      <c r="H8" s="6" t="s">
        <v>8</v>
      </c>
      <c r="I8" s="6" t="s">
        <v>9</v>
      </c>
      <c r="J8" s="6" t="s">
        <v>4</v>
      </c>
      <c r="K8" s="6" t="s">
        <v>12</v>
      </c>
      <c r="L8" s="6" t="s">
        <v>5</v>
      </c>
      <c r="N8" s="6" t="s">
        <v>10</v>
      </c>
      <c r="O8" s="64" t="s">
        <v>54</v>
      </c>
    </row>
    <row r="9" spans="1:16" x14ac:dyDescent="0.25">
      <c r="A9">
        <v>1</v>
      </c>
      <c r="B9" s="9" t="s">
        <v>27</v>
      </c>
      <c r="D9"/>
      <c r="E9" s="18">
        <v>0.15</v>
      </c>
      <c r="F9" s="21">
        <f>E9</f>
        <v>0.15</v>
      </c>
      <c r="G9" s="4">
        <f t="shared" ref="G9:L9" si="0">(1-$E$9)*G10</f>
        <v>0.417265</v>
      </c>
      <c r="H9" s="4">
        <f t="shared" si="0"/>
        <v>4.9895000000000002E-2</v>
      </c>
      <c r="I9" s="4">
        <f t="shared" si="0"/>
        <v>0.37374499999999999</v>
      </c>
      <c r="J9" s="4">
        <f t="shared" si="0"/>
        <v>8.5000000000000006E-5</v>
      </c>
      <c r="K9" s="4">
        <f t="shared" si="0"/>
        <v>2.5500000000000002E-3</v>
      </c>
      <c r="L9" s="4">
        <f t="shared" si="0"/>
        <v>6.4599999999999996E-3</v>
      </c>
      <c r="M9" s="4"/>
      <c r="N9" s="4">
        <f>SUM(F9:L9)</f>
        <v>1</v>
      </c>
      <c r="O9" s="30">
        <f>1000*((((0.3491*G9+1.1783*H9-0.1034*I9+0.1005*J9-0.0151*K9-0.0211*L9)/10)-(9*H9*2.257*1.03125/1000))-((F9*($J$6-$J$5)*4.186+F9*2257)/1000000))</f>
        <v>15.130727304531245</v>
      </c>
    </row>
    <row r="10" spans="1:16" x14ac:dyDescent="0.25">
      <c r="B10" t="s">
        <v>15</v>
      </c>
      <c r="F10" s="9">
        <v>0</v>
      </c>
      <c r="G10" s="9">
        <v>0.4909</v>
      </c>
      <c r="H10" s="9">
        <v>5.8700000000000002E-2</v>
      </c>
      <c r="I10" s="9">
        <v>0.43969999999999998</v>
      </c>
      <c r="J10" s="9">
        <v>1E-4</v>
      </c>
      <c r="K10" s="9">
        <v>3.0000000000000001E-3</v>
      </c>
      <c r="L10" s="9">
        <v>7.6E-3</v>
      </c>
      <c r="M10" s="4"/>
      <c r="N10" s="4">
        <f>SUM(G10:L10)</f>
        <v>1</v>
      </c>
      <c r="O10" s="30">
        <f>1000*((((0.3491*G10+1.1783*H10-0.1034*I10+0.1005*J10-0.0151*K10-0.0211*L10)/10)-(9*H10*2.257*1.03125/1000))-((F10*($J$6-$J$5)*4.186+F10*2257)/1000000))</f>
        <v>18.258246240625006</v>
      </c>
    </row>
    <row r="11" spans="1:16" x14ac:dyDescent="0.25">
      <c r="O11" s="31"/>
    </row>
    <row r="12" spans="1:16" x14ac:dyDescent="0.25">
      <c r="A12">
        <v>2</v>
      </c>
      <c r="B12" s="9" t="s">
        <v>20</v>
      </c>
      <c r="D12"/>
      <c r="E12" s="18">
        <v>0.06</v>
      </c>
      <c r="F12" s="21">
        <f>E12</f>
        <v>0.06</v>
      </c>
      <c r="G12" s="4">
        <f t="shared" ref="G12:L12" si="1">(1-$E12)*G13</f>
        <v>0.49162</v>
      </c>
      <c r="H12" s="4">
        <f t="shared" si="1"/>
        <v>5.9219999999999995E-2</v>
      </c>
      <c r="I12" s="4">
        <f t="shared" si="1"/>
        <v>0.38069999999999998</v>
      </c>
      <c r="J12" s="4">
        <f t="shared" si="1"/>
        <v>0</v>
      </c>
      <c r="K12" s="4">
        <f t="shared" si="1"/>
        <v>9.3999999999999997E-4</v>
      </c>
      <c r="L12" s="4">
        <f t="shared" si="1"/>
        <v>7.5199999999999998E-3</v>
      </c>
      <c r="M12" s="4"/>
      <c r="N12" s="4">
        <f>SUM(F12:L12)</f>
        <v>1.0000000000000002</v>
      </c>
      <c r="O12" s="30">
        <f>1000*((((0.3491*G12+1.1783*H12-0.1034*I12+0.1005*J12-0.0151*K12-0.0211*L12)/10)-(9*H12*2.257*1.03125/1000))-((F12*($J$6-$J$5)*4.186+F12*2257)/1000000))</f>
        <v>18.790581794375001</v>
      </c>
    </row>
    <row r="13" spans="1:16" x14ac:dyDescent="0.25">
      <c r="B13" t="s">
        <v>29</v>
      </c>
      <c r="F13" s="9">
        <v>0</v>
      </c>
      <c r="G13" s="9">
        <v>0.52300000000000002</v>
      </c>
      <c r="H13" s="9">
        <v>6.3E-2</v>
      </c>
      <c r="I13" s="9">
        <v>0.40500000000000003</v>
      </c>
      <c r="J13" s="9">
        <v>0</v>
      </c>
      <c r="K13" s="9">
        <v>1E-3</v>
      </c>
      <c r="L13" s="9">
        <v>8.0000000000000002E-3</v>
      </c>
      <c r="M13" s="4"/>
      <c r="N13" s="4">
        <f>SUM(G13:L13)</f>
        <v>1</v>
      </c>
      <c r="O13" s="30">
        <f>1000*((((0.3491*G13+1.1783*H13-0.1034*I13+0.1005*J13-0.0151*K13-0.0211*L13)/10)-(9*H13*2.257*1.03125/1000))-((F13*($J$6-$J$5)*4.186+F13*2257)/1000000))</f>
        <v>20.155419781250007</v>
      </c>
    </row>
    <row r="14" spans="1:16" x14ac:dyDescent="0.25">
      <c r="F14" s="21"/>
      <c r="G14" s="4"/>
      <c r="H14" s="4"/>
      <c r="I14" s="4"/>
      <c r="J14" s="4"/>
      <c r="K14" s="4"/>
      <c r="L14" s="4"/>
      <c r="M14" s="4"/>
      <c r="N14" s="4"/>
      <c r="O14" s="31"/>
    </row>
    <row r="15" spans="1:16" x14ac:dyDescent="0.25">
      <c r="A15">
        <v>3</v>
      </c>
      <c r="B15" s="9" t="s">
        <v>30</v>
      </c>
      <c r="C15" s="3"/>
      <c r="E15" s="18">
        <v>0</v>
      </c>
      <c r="F15" s="21">
        <f>E15</f>
        <v>0</v>
      </c>
      <c r="G15" s="4">
        <f t="shared" ref="G15:L15" si="2">(1-$E15)*G16</f>
        <v>0.9296969696969698</v>
      </c>
      <c r="H15" s="4">
        <f t="shared" si="2"/>
        <v>2.4747474747474747E-2</v>
      </c>
      <c r="I15" s="4">
        <f t="shared" si="2"/>
        <v>2.9898989898989901E-2</v>
      </c>
      <c r="J15" s="4">
        <f t="shared" si="2"/>
        <v>0</v>
      </c>
      <c r="K15" s="4">
        <f t="shared" si="2"/>
        <v>5.3535353535353533E-3</v>
      </c>
      <c r="L15" s="4">
        <f t="shared" si="2"/>
        <v>1.0303030303030303E-2</v>
      </c>
      <c r="M15" s="4"/>
      <c r="N15" s="4">
        <f>SUM(F15:L15)</f>
        <v>1</v>
      </c>
      <c r="O15" s="30">
        <f>1000*((((0.3491*G15+1.1783*H15-0.1034*I15+0.1005*J15-0.0151*K15-0.0211*L15)/10)-(9*H15*2.257*1.03125/1000))-((F15*($J$6-$J$5)*4.186+F15*2257)/1000000))</f>
        <v>34.514332686237374</v>
      </c>
    </row>
    <row r="16" spans="1:16" x14ac:dyDescent="0.25">
      <c r="B16" s="3"/>
      <c r="C16" s="3"/>
      <c r="E16" s="3"/>
      <c r="F16" s="9">
        <v>0</v>
      </c>
      <c r="G16" s="9">
        <v>0.9296969696969698</v>
      </c>
      <c r="H16" s="9">
        <v>2.4747474747474747E-2</v>
      </c>
      <c r="I16" s="9">
        <v>2.9898989898989901E-2</v>
      </c>
      <c r="J16" s="9">
        <v>0</v>
      </c>
      <c r="K16" s="9">
        <v>5.3535353535353533E-3</v>
      </c>
      <c r="L16" s="9">
        <v>1.0303030303030303E-2</v>
      </c>
      <c r="M16" s="3"/>
      <c r="N16" s="3">
        <f>SUM(G16:L16)</f>
        <v>1</v>
      </c>
      <c r="O16" s="30">
        <f>1000*((((0.3491*G16+1.1783*H16-0.1034*I16+0.1005*J16-0.0151*K16-0.0211*L16)/10)-(9*H16*2.257*1.03125/1000))-((F16*($J$6-$J$5)*4.186+F16*2257)/1000000))</f>
        <v>34.514332686237374</v>
      </c>
    </row>
    <row r="17" spans="2:17" x14ac:dyDescent="0.25">
      <c r="B17" s="3"/>
      <c r="C17" s="3"/>
      <c r="E17" s="3"/>
      <c r="G17" s="3"/>
      <c r="H17" s="3"/>
      <c r="I17" s="3"/>
      <c r="J17" s="3"/>
      <c r="K17" s="3"/>
      <c r="L17" s="3"/>
      <c r="M17" s="3"/>
      <c r="N17" s="3"/>
    </row>
    <row r="18" spans="2:17" s="6" customFormat="1" x14ac:dyDescent="0.25">
      <c r="B18" s="78" t="s">
        <v>43</v>
      </c>
      <c r="C18" s="58" t="s">
        <v>36</v>
      </c>
      <c r="D18" s="59" t="s">
        <v>38</v>
      </c>
      <c r="E18" s="60" t="s">
        <v>22</v>
      </c>
      <c r="F18" s="59"/>
      <c r="G18" s="60"/>
      <c r="H18" s="60"/>
      <c r="I18" s="60"/>
      <c r="J18" s="60"/>
      <c r="K18" s="60"/>
      <c r="L18" s="60" t="s">
        <v>40</v>
      </c>
      <c r="M18" s="60" t="s">
        <v>33</v>
      </c>
      <c r="N18" s="60"/>
      <c r="O18" s="61" t="s">
        <v>28</v>
      </c>
      <c r="P18" s="78" t="s">
        <v>26</v>
      </c>
      <c r="Q18" s="69" t="s">
        <v>42</v>
      </c>
    </row>
    <row r="19" spans="2:17" s="6" customFormat="1" x14ac:dyDescent="0.25">
      <c r="B19" s="70" t="s">
        <v>47</v>
      </c>
      <c r="C19" s="62" t="s">
        <v>37</v>
      </c>
      <c r="D19" s="63" t="s">
        <v>39</v>
      </c>
      <c r="E19" s="64" t="s">
        <v>6</v>
      </c>
      <c r="F19" s="63" t="s">
        <v>24</v>
      </c>
      <c r="G19" s="64" t="s">
        <v>3</v>
      </c>
      <c r="H19" s="64" t="s">
        <v>8</v>
      </c>
      <c r="I19" s="64" t="s">
        <v>9</v>
      </c>
      <c r="J19" s="64" t="s">
        <v>4</v>
      </c>
      <c r="K19" s="64" t="s">
        <v>12</v>
      </c>
      <c r="L19" s="64" t="s">
        <v>5</v>
      </c>
      <c r="M19" s="64" t="s">
        <v>34</v>
      </c>
      <c r="N19" s="64" t="s">
        <v>10</v>
      </c>
      <c r="O19" s="64" t="s">
        <v>25</v>
      </c>
      <c r="P19" s="81" t="s">
        <v>41</v>
      </c>
      <c r="Q19" s="70" t="s">
        <v>48</v>
      </c>
    </row>
    <row r="20" spans="2:17" x14ac:dyDescent="0.25">
      <c r="B20" s="79" t="s">
        <v>20</v>
      </c>
      <c r="C20" s="65"/>
      <c r="D20" s="66"/>
      <c r="E20" s="67" t="s">
        <v>45</v>
      </c>
      <c r="F20" s="66"/>
      <c r="G20" s="57"/>
      <c r="H20" s="57"/>
      <c r="I20" s="57"/>
      <c r="J20" s="57"/>
      <c r="K20" s="57"/>
      <c r="L20" s="57"/>
      <c r="M20" s="57"/>
      <c r="N20" s="57"/>
      <c r="O20" s="57"/>
      <c r="P20" s="88"/>
      <c r="Q20" s="70" t="s">
        <v>52</v>
      </c>
    </row>
    <row r="21" spans="2:17" x14ac:dyDescent="0.25">
      <c r="B21" s="74" t="s">
        <v>23</v>
      </c>
      <c r="C21" s="38">
        <v>1000</v>
      </c>
      <c r="D21" s="39">
        <v>0</v>
      </c>
      <c r="E21" s="53">
        <v>0.06</v>
      </c>
      <c r="F21" s="47">
        <f>E21*(C21-D21)</f>
        <v>60</v>
      </c>
      <c r="G21" s="48">
        <f t="shared" ref="G21:K24" si="3">G$16*$D21+((((($C21-$D21)*(1-$E21))*G$13)))</f>
        <v>491.62</v>
      </c>
      <c r="H21" s="48">
        <f t="shared" si="3"/>
        <v>59.22</v>
      </c>
      <c r="I21" s="48">
        <f t="shared" si="3"/>
        <v>380.70000000000005</v>
      </c>
      <c r="J21" s="48">
        <f t="shared" si="3"/>
        <v>0</v>
      </c>
      <c r="K21" s="48">
        <f t="shared" si="3"/>
        <v>0.94000000000000006</v>
      </c>
      <c r="L21" s="49">
        <f>L$16*$D21+((($C21-$D21)*(1-$E21))*L$13)</f>
        <v>7.5200000000000005</v>
      </c>
      <c r="M21" s="50">
        <v>0</v>
      </c>
      <c r="N21" s="51">
        <f>SUM(F21:L21)</f>
        <v>1000.0000000000001</v>
      </c>
      <c r="O21" s="52">
        <f>(((0.3491*G21+1.1783*H21-0.1034*I21+0.1005*J21-0.0151*K21-0.0211*L21)/10)-(9*H21*2.257*1.03125/1000))-((F21*($J$6-$J$5)*4.186+F21*2257)/1000000)</f>
        <v>18.790581794375001</v>
      </c>
      <c r="P21" s="86">
        <v>0</v>
      </c>
      <c r="Q21" s="71"/>
    </row>
    <row r="22" spans="2:17" x14ac:dyDescent="0.25">
      <c r="B22" s="71" t="s">
        <v>7</v>
      </c>
      <c r="C22" s="41">
        <v>750</v>
      </c>
      <c r="D22" s="42">
        <v>26</v>
      </c>
      <c r="E22" s="54">
        <v>0.06</v>
      </c>
      <c r="F22" s="25">
        <f>E22*(C22-D22)</f>
        <v>43.44</v>
      </c>
      <c r="G22" s="26">
        <f t="shared" si="3"/>
        <v>380.10500121212124</v>
      </c>
      <c r="H22" s="26">
        <f t="shared" si="3"/>
        <v>43.51871434343434</v>
      </c>
      <c r="I22" s="26">
        <f t="shared" si="3"/>
        <v>276.40417373737375</v>
      </c>
      <c r="J22" s="26">
        <f t="shared" si="3"/>
        <v>0</v>
      </c>
      <c r="K22" s="26">
        <f t="shared" si="3"/>
        <v>0.81975191919191914</v>
      </c>
      <c r="L22" s="27">
        <f>L$16*$D22+((($C22-$D22)*(1-$E22))*L$13)</f>
        <v>5.7123587878787871</v>
      </c>
      <c r="M22" s="27">
        <f>L21-L22</f>
        <v>1.8076412121212133</v>
      </c>
      <c r="N22" s="29">
        <f>SUM(F22:L22)</f>
        <v>750.00000000000011</v>
      </c>
      <c r="O22" s="30">
        <f>(((0.3491*G22+1.1783*H22-0.1034*I22+0.1005*J22-0.0151*K22-0.0211*L22)/10)-(9*H22*2.257*1.03125/1000))-((F22*($J$6-$J$5)*4.186+F22*2257)/1000000)</f>
        <v>14.501753868969676</v>
      </c>
      <c r="P22" s="86">
        <f>O21-O22</f>
        <v>4.2888279254053252</v>
      </c>
      <c r="Q22" s="72">
        <f>P22/P30-1</f>
        <v>0.6994627751959448</v>
      </c>
    </row>
    <row r="23" spans="2:17" x14ac:dyDescent="0.25">
      <c r="B23" s="71" t="s">
        <v>0</v>
      </c>
      <c r="C23" s="41">
        <v>600</v>
      </c>
      <c r="D23" s="42">
        <v>44</v>
      </c>
      <c r="E23" s="54">
        <v>0.06</v>
      </c>
      <c r="F23" s="25">
        <f t="shared" ref="F23:F24" si="4">E23*(C23-D23)</f>
        <v>33.36</v>
      </c>
      <c r="G23" s="26">
        <f t="shared" si="3"/>
        <v>314.24738666666667</v>
      </c>
      <c r="H23" s="26">
        <f t="shared" si="3"/>
        <v>34.015208888888885</v>
      </c>
      <c r="I23" s="26">
        <f t="shared" si="3"/>
        <v>212.98475555555558</v>
      </c>
      <c r="J23" s="26">
        <f t="shared" si="3"/>
        <v>0</v>
      </c>
      <c r="K23" s="26">
        <f t="shared" si="3"/>
        <v>0.75819555555555551</v>
      </c>
      <c r="L23" s="27">
        <f>L$16*$D23+((($C23-$D23)*(1-$E23))*L$13)</f>
        <v>4.6344533333333331</v>
      </c>
      <c r="M23" s="27">
        <f>L22-L23+M22</f>
        <v>2.8855466666666674</v>
      </c>
      <c r="N23" s="29">
        <f t="shared" ref="N23:N24" si="5">SUM(F23:L23)</f>
        <v>600</v>
      </c>
      <c r="O23" s="30">
        <f>(((0.3491*G23+1.1783*H23-0.1034*I23+0.1005*J23-0.0151*K23-0.0211*L23)/10)-(9*H23*2.257*1.03125/1000))-((F23*($J$6-$J$5)*4.186+F23*2257)/1000000)</f>
        <v>11.966194115866946</v>
      </c>
      <c r="P23" s="86">
        <f>P22+O22-O23</f>
        <v>6.8243876785080548</v>
      </c>
      <c r="Q23" s="72">
        <f>P23/P31-1</f>
        <v>0.63609549721826286</v>
      </c>
    </row>
    <row r="24" spans="2:17" x14ac:dyDescent="0.25">
      <c r="B24" s="75" t="s">
        <v>1</v>
      </c>
      <c r="C24" s="44">
        <v>380</v>
      </c>
      <c r="D24" s="45">
        <v>65</v>
      </c>
      <c r="E24" s="55">
        <v>0.06</v>
      </c>
      <c r="F24" s="33">
        <f t="shared" si="4"/>
        <v>18.899999999999999</v>
      </c>
      <c r="G24" s="34">
        <f t="shared" si="3"/>
        <v>215.29060303030303</v>
      </c>
      <c r="H24" s="34">
        <f t="shared" si="3"/>
        <v>20.262885858585857</v>
      </c>
      <c r="I24" s="34">
        <f t="shared" si="3"/>
        <v>121.86393434343434</v>
      </c>
      <c r="J24" s="34">
        <f t="shared" si="3"/>
        <v>0</v>
      </c>
      <c r="K24" s="34">
        <f t="shared" si="3"/>
        <v>0.64407979797979786</v>
      </c>
      <c r="L24" s="34">
        <f>L$16*$D24+((((($C24-$D24)*(1-$E24))*L$13)))</f>
        <v>3.0384969696969693</v>
      </c>
      <c r="M24" s="35">
        <f>L23-L24+M23</f>
        <v>4.4815030303030312</v>
      </c>
      <c r="N24" s="36">
        <f t="shared" si="5"/>
        <v>379.99999999999994</v>
      </c>
      <c r="O24" s="37">
        <f>(((0.3491*G24+1.1783*H24-0.1034*I24+0.1005*J24-0.0151*K24-0.0211*L24)/10)-(9*H24*2.257*1.03125/1000))-((F24*($J$6-$J$5)*4.186+F24*2257)/1000000)</f>
        <v>8.1624648898335543</v>
      </c>
      <c r="P24" s="87">
        <f>P23+O23-O24</f>
        <v>10.628116904541447</v>
      </c>
      <c r="Q24" s="73">
        <f>P24/P32-1</f>
        <v>0.48762171675253874</v>
      </c>
    </row>
    <row r="25" spans="2:17" ht="6.75" customHeight="1" x14ac:dyDescent="0.25">
      <c r="B25" s="82"/>
      <c r="C25" s="28"/>
      <c r="D25" s="28"/>
      <c r="E25" s="28"/>
      <c r="F25" s="28"/>
      <c r="G25" s="26"/>
      <c r="H25" s="26"/>
      <c r="I25" s="26"/>
      <c r="J25" s="26"/>
      <c r="K25" s="26"/>
      <c r="L25" s="26"/>
      <c r="M25" s="27"/>
      <c r="N25" s="29"/>
      <c r="O25" s="30"/>
      <c r="P25" s="80"/>
      <c r="Q25" s="56"/>
    </row>
    <row r="26" spans="2:17" x14ac:dyDescent="0.25">
      <c r="B26" s="81" t="s">
        <v>44</v>
      </c>
      <c r="C26" s="11"/>
      <c r="D26" s="11"/>
      <c r="E26" s="11"/>
      <c r="F26" s="11"/>
      <c r="G26" s="13"/>
      <c r="H26" s="13"/>
      <c r="I26" s="13"/>
      <c r="J26" s="13"/>
      <c r="K26" s="13"/>
      <c r="L26" s="20"/>
      <c r="M26" s="20"/>
      <c r="N26" s="12"/>
      <c r="O26" s="19"/>
      <c r="P26" s="13"/>
      <c r="Q26" s="3"/>
    </row>
    <row r="27" spans="2:17" x14ac:dyDescent="0.25">
      <c r="B27" s="70" t="s">
        <v>47</v>
      </c>
      <c r="C27" s="16"/>
      <c r="E27" s="16"/>
      <c r="G27" s="13"/>
      <c r="H27" s="13"/>
      <c r="I27" s="13"/>
      <c r="J27" s="13"/>
      <c r="K27" s="13"/>
      <c r="L27" s="13"/>
      <c r="M27" s="13"/>
      <c r="N27" s="12"/>
    </row>
    <row r="28" spans="2:17" x14ac:dyDescent="0.25">
      <c r="B28" s="79" t="s">
        <v>20</v>
      </c>
      <c r="E28" s="6" t="s">
        <v>46</v>
      </c>
      <c r="P28" s="57"/>
    </row>
    <row r="29" spans="2:17" x14ac:dyDescent="0.25">
      <c r="B29" s="74" t="s">
        <v>23</v>
      </c>
      <c r="C29" s="38">
        <v>1000</v>
      </c>
      <c r="D29" s="39">
        <v>0</v>
      </c>
      <c r="E29" s="40">
        <v>0.21</v>
      </c>
      <c r="F29" s="47">
        <f>E29*(C29-D29)</f>
        <v>210</v>
      </c>
      <c r="G29" s="48">
        <f t="shared" ref="G29:K32" si="6">G$16*$D29+((((($C29-$D29)*(1-$E29))*G$13)))</f>
        <v>413.17</v>
      </c>
      <c r="H29" s="48">
        <f t="shared" si="6"/>
        <v>49.77</v>
      </c>
      <c r="I29" s="48">
        <f t="shared" si="6"/>
        <v>319.95000000000005</v>
      </c>
      <c r="J29" s="48">
        <f t="shared" si="6"/>
        <v>0</v>
      </c>
      <c r="K29" s="48">
        <f t="shared" si="6"/>
        <v>0.79</v>
      </c>
      <c r="L29" s="49">
        <f>L$16*$D29+((($C29-$D29)*(1-$E29))*L$13)</f>
        <v>6.32</v>
      </c>
      <c r="M29" s="50">
        <v>0</v>
      </c>
      <c r="N29" s="51">
        <f>SUM(F29:L29)</f>
        <v>1000.0000000000001</v>
      </c>
      <c r="O29" s="52">
        <f>(((0.3491*G29+1.1783*H29-0.1034*I29+0.1005*J29-0.0151*K29-0.0211*L29)/10)-(9*H29*2.257*1.03125/1000))-((F29*($J$6-$J$5)*4.186+F29*2257)/1000000)</f>
        <v>15.378486827187501</v>
      </c>
      <c r="P29" s="76">
        <v>0</v>
      </c>
    </row>
    <row r="30" spans="2:17" x14ac:dyDescent="0.25">
      <c r="B30" s="71" t="s">
        <v>7</v>
      </c>
      <c r="C30" s="41">
        <v>750</v>
      </c>
      <c r="D30" s="42">
        <v>26</v>
      </c>
      <c r="E30" s="43">
        <v>0.16</v>
      </c>
      <c r="F30" s="25">
        <f>E30*(C30-D30)</f>
        <v>115.84</v>
      </c>
      <c r="G30" s="26">
        <f t="shared" si="6"/>
        <v>342.23980121212122</v>
      </c>
      <c r="H30" s="26">
        <f t="shared" si="6"/>
        <v>38.95751434343434</v>
      </c>
      <c r="I30" s="26">
        <f t="shared" si="6"/>
        <v>247.08217373737375</v>
      </c>
      <c r="J30" s="26">
        <f t="shared" si="6"/>
        <v>0</v>
      </c>
      <c r="K30" s="26">
        <f t="shared" si="6"/>
        <v>0.74735191919191923</v>
      </c>
      <c r="L30" s="27">
        <f>L$16*$D30+((($C30-$D30)*(1-$E30))*L$13)</f>
        <v>5.1331587878787879</v>
      </c>
      <c r="M30" s="27">
        <f>L29-L30</f>
        <v>1.1868412121212124</v>
      </c>
      <c r="N30" s="29">
        <f>SUM(F30:L30)</f>
        <v>750</v>
      </c>
      <c r="O30" s="30">
        <f>(((0.3491*G30+1.1783*H30-0.1034*I30+0.1005*J30-0.0151*K30-0.0211*L30)/10)-(9*H30*2.257*1.03125/1000))-((F30*($J$6-$J$5)*4.186+F30*2257)/1000000)</f>
        <v>12.854849364807173</v>
      </c>
      <c r="P30" s="76">
        <f>O29-O30</f>
        <v>2.5236374623803286</v>
      </c>
      <c r="Q30" s="3"/>
    </row>
    <row r="31" spans="2:17" x14ac:dyDescent="0.25">
      <c r="B31" s="71" t="s">
        <v>0</v>
      </c>
      <c r="C31" s="41">
        <v>600</v>
      </c>
      <c r="D31" s="42">
        <v>44</v>
      </c>
      <c r="E31" s="43">
        <v>0.12</v>
      </c>
      <c r="F31" s="25">
        <f t="shared" ref="F31:F32" si="7">E31*(C31-D31)</f>
        <v>66.72</v>
      </c>
      <c r="G31" s="26">
        <f t="shared" si="6"/>
        <v>296.80010666666669</v>
      </c>
      <c r="H31" s="26">
        <f t="shared" si="6"/>
        <v>31.913528888888891</v>
      </c>
      <c r="I31" s="26">
        <f t="shared" si="6"/>
        <v>199.47395555555559</v>
      </c>
      <c r="J31" s="26">
        <f t="shared" si="6"/>
        <v>0</v>
      </c>
      <c r="K31" s="26">
        <f t="shared" si="6"/>
        <v>0.72483555555555557</v>
      </c>
      <c r="L31" s="27">
        <f>L$16*$D31+((($C31-$D31)*(1-$E31))*L$13)</f>
        <v>4.3675733333333335</v>
      </c>
      <c r="M31" s="27">
        <f>L30-L31+M30</f>
        <v>1.9524266666666668</v>
      </c>
      <c r="N31" s="29">
        <f t="shared" ref="N31:N32" si="8">SUM(F31:L31)</f>
        <v>600</v>
      </c>
      <c r="O31" s="30">
        <f>(((0.3491*G31+1.1783*H31-0.1034*I31+0.1005*J31-0.0151*K31-0.0211*L31)/10)-(9*H31*2.257*1.03125/1000))-((F31*($J$6-$J$5)*4.186+F31*2257)/1000000)</f>
        <v>11.207344195164445</v>
      </c>
      <c r="P31" s="76">
        <f>P30+O30-O31</f>
        <v>4.1711426320230558</v>
      </c>
      <c r="Q31" s="3"/>
    </row>
    <row r="32" spans="2:17" x14ac:dyDescent="0.25">
      <c r="B32" s="75" t="s">
        <v>1</v>
      </c>
      <c r="C32" s="44">
        <v>380</v>
      </c>
      <c r="D32" s="45">
        <v>65</v>
      </c>
      <c r="E32" s="46">
        <v>0.05</v>
      </c>
      <c r="F32" s="33">
        <f t="shared" si="7"/>
        <v>15.75</v>
      </c>
      <c r="G32" s="34">
        <f t="shared" si="6"/>
        <v>216.93805303030305</v>
      </c>
      <c r="H32" s="34">
        <f t="shared" si="6"/>
        <v>20.461335858585858</v>
      </c>
      <c r="I32" s="34">
        <f t="shared" si="6"/>
        <v>123.13968434343435</v>
      </c>
      <c r="J32" s="34">
        <f t="shared" si="6"/>
        <v>0</v>
      </c>
      <c r="K32" s="34">
        <f t="shared" si="6"/>
        <v>0.64722979797979796</v>
      </c>
      <c r="L32" s="35">
        <f>L$16*$D32+((($C32-$D32)*(1-$E32))*L$13)</f>
        <v>3.06369696969697</v>
      </c>
      <c r="M32" s="35">
        <f>L31-L32+M31</f>
        <v>3.2563030303030303</v>
      </c>
      <c r="N32" s="36">
        <f t="shared" si="8"/>
        <v>380.00000000000006</v>
      </c>
      <c r="O32" s="37">
        <f>(((0.3491*G32+1.1783*H32-0.1034*I32+0.1005*J32-0.0151*K32-0.0211*L32)/10)-(9*H32*2.257*1.03125/1000))-((F32*($J$6-$J$5)*4.186+F32*2257)/1000000)</f>
        <v>8.2341188841444914</v>
      </c>
      <c r="P32" s="77">
        <f>P31+O31-O32</f>
        <v>7.1443679430430098</v>
      </c>
      <c r="Q32" s="3"/>
    </row>
    <row r="33" spans="5:14" x14ac:dyDescent="0.25">
      <c r="F33" s="11"/>
    </row>
    <row r="35" spans="5:14" x14ac:dyDescent="0.25">
      <c r="E35" s="3"/>
      <c r="G35" s="3"/>
      <c r="H35" s="8"/>
      <c r="I35" s="8"/>
      <c r="J35" s="8"/>
      <c r="K35" s="4"/>
      <c r="L35" s="4"/>
      <c r="M35" s="4"/>
      <c r="N35" s="4"/>
    </row>
    <row r="36" spans="5:14" x14ac:dyDescent="0.25">
      <c r="F36" s="11"/>
    </row>
    <row r="37" spans="5:14" x14ac:dyDescent="0.25">
      <c r="F37" s="11"/>
    </row>
    <row r="49" spans="1:2" x14ac:dyDescent="0.25">
      <c r="A49">
        <v>1</v>
      </c>
      <c r="B49" t="s">
        <v>13</v>
      </c>
    </row>
    <row r="50" spans="1:2" x14ac:dyDescent="0.25">
      <c r="A50">
        <v>2</v>
      </c>
      <c r="B50" t="s">
        <v>16</v>
      </c>
    </row>
    <row r="51" spans="1:2" x14ac:dyDescent="0.25">
      <c r="A51">
        <v>3</v>
      </c>
      <c r="B51" t="s">
        <v>21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Crispin</dc:creator>
  <cp:lastModifiedBy>Reviewer</cp:lastModifiedBy>
  <dcterms:created xsi:type="dcterms:W3CDTF">2008-07-29T07:37:05Z</dcterms:created>
  <dcterms:modified xsi:type="dcterms:W3CDTF">2017-09-22T12:32:43Z</dcterms:modified>
</cp:coreProperties>
</file>