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52" tabRatio="835" activeTab="2"/>
  </bookViews>
  <sheets>
    <sheet name="General Information" sheetId="1" r:id="rId1"/>
    <sheet name="Test Entry" sheetId="2" r:id="rId2"/>
    <sheet name="Test-1" sheetId="3" r:id="rId3"/>
    <sheet name="Test-2" sheetId="4" r:id="rId4"/>
    <sheet name="Test-3" sheetId="5" r:id="rId5"/>
    <sheet name="Test-4" sheetId="6" r:id="rId6"/>
    <sheet name="Test-5" sheetId="7" r:id="rId7"/>
    <sheet name="Test-6" sheetId="8" r:id="rId8"/>
    <sheet name="Test-7" sheetId="9" r:id="rId9"/>
    <sheet name="Test-8" sheetId="10" r:id="rId10"/>
    <sheet name="Test-9" sheetId="11" r:id="rId11"/>
    <sheet name="Test-10" sheetId="12" r:id="rId12"/>
    <sheet name="Results" sheetId="13" r:id="rId13"/>
    <sheet name="IWA Summary" sheetId="14" r:id="rId14"/>
    <sheet name="Fuel Moisture" sheetId="15" r:id="rId15"/>
    <sheet name="Lists" sheetId="16" r:id="rId16"/>
    <sheet name="Calorific values" sheetId="17" r:id="rId17"/>
    <sheet name="Catalog Import Data" sheetId="18" r:id="rId18"/>
  </sheets>
  <definedNames>
    <definedName name="charFracC">'General Information'!$L$12</definedName>
    <definedName name="FuelCalorific">'Calorific values'!$B$3:$M$91</definedName>
    <definedName name="fuelFracC">'General Information'!$L$23</definedName>
    <definedName name="_xlnm.Print_Area" localSheetId="14">'Fuel Moisture'!$A$1:$U$33</definedName>
    <definedName name="_xlnm.Print_Area" localSheetId="12">'Results'!$A$1:$Q$70</definedName>
    <definedName name="version">'Lists'!$N$1</definedName>
    <definedName name="WindConditions">'Lists'!$A$3:$B$8</definedName>
  </definedNames>
  <calcPr fullCalcOnLoad="1"/>
</workbook>
</file>

<file path=xl/comments10.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1.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2.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13.xml><?xml version="1.0" encoding="utf-8"?>
<comments xmlns="http://schemas.openxmlformats.org/spreadsheetml/2006/main">
  <authors>
    <author/>
  </authors>
  <commentList>
    <comment ref="O10" authorId="0">
      <text>
        <r>
          <rPr>
            <sz val="8"/>
            <color indexed="8"/>
            <rFont val="Times New Roman"/>
            <family val="1"/>
          </rPr>
          <t>Standard deviation is only calculated if all three tests are completed.</t>
        </r>
      </text>
    </comment>
    <comment ref="O20" authorId="0">
      <text>
        <r>
          <rPr>
            <sz val="8"/>
            <color indexed="8"/>
            <rFont val="Times New Roman"/>
            <family val="1"/>
          </rPr>
          <t>Standard deviation is only calculated if all three tests are completed.</t>
        </r>
      </text>
    </comment>
    <comment ref="O30" authorId="0">
      <text>
        <r>
          <rPr>
            <sz val="8"/>
            <color indexed="8"/>
            <rFont val="Times New Roman"/>
            <family val="1"/>
          </rPr>
          <t>Standard deviation is only calculated if all three tests are completed.</t>
        </r>
      </text>
    </comment>
    <comment ref="O44" authorId="0">
      <text>
        <r>
          <rPr>
            <sz val="8"/>
            <color indexed="8"/>
            <rFont val="Times New Roman"/>
            <family val="1"/>
          </rPr>
          <t>Standard deviation is only calculated if all three tests are completed.</t>
        </r>
      </text>
    </comment>
    <comment ref="O38" authorId="0">
      <text>
        <r>
          <rPr>
            <sz val="8"/>
            <color indexed="8"/>
            <rFont val="Times New Roman"/>
            <family val="1"/>
          </rPr>
          <t>Standard deviation is only calculated if all three tests are completed.</t>
        </r>
      </text>
    </comment>
  </commentList>
</comments>
</file>

<file path=xl/comments17.xml><?xml version="1.0" encoding="utf-8"?>
<comments xmlns="http://schemas.openxmlformats.org/spreadsheetml/2006/main">
  <authors>
    <author>Tami Bond</author>
  </authors>
  <commentList>
    <comment ref="L1" authorId="0">
      <text>
        <r>
          <rPr>
            <b/>
            <sz val="8"/>
            <rFont val="Tahoma"/>
            <family val="2"/>
          </rPr>
          <t>Tami Bond:</t>
        </r>
        <r>
          <rPr>
            <sz val="8"/>
            <rFont val="Tahoma"/>
            <family val="2"/>
          </rPr>
          <t xml:space="preserve">
No specific char values are presently included. However, they may be altered as more char data become available.</t>
        </r>
      </text>
    </comment>
  </commentList>
</comments>
</file>

<file path=xl/comments3.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4.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5.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6.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7.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8.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comments9.xml><?xml version="1.0" encoding="utf-8"?>
<comments xmlns="http://schemas.openxmlformats.org/spreadsheetml/2006/main">
  <authors>
    <author/>
  </authors>
  <commentList>
    <comment ref="AL7" authorId="0">
      <text>
        <r>
          <rPr>
            <sz val="8"/>
            <color indexed="8"/>
            <rFont val="Times New Roman"/>
            <family val="1"/>
          </rPr>
          <t xml:space="preserve">if wood cannot be easily removed,weighed and replaced in stove,  use [original wt. of wood bundle(before boiling) minus the wt.of wood consumed during Hot Start (AA22)] for this 
value
</t>
        </r>
      </text>
    </comment>
    <comment ref="AI17"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 ref="AA29" authorId="0">
      <text>
        <r>
          <rPr>
            <b/>
            <sz val="8"/>
            <color indexed="8"/>
            <rFont val="Times New Roman"/>
            <family val="1"/>
          </rPr>
          <t xml:space="preserve">Rob Bailis:
</t>
        </r>
        <r>
          <rPr>
            <sz val="8"/>
            <color indexed="8"/>
            <rFont val="Times New Roman"/>
            <family val="1"/>
          </rPr>
          <t>Assuming that the quantity of char produced is the same as in the Cold Start Test.</t>
        </r>
      </text>
    </comment>
  </commentList>
</comments>
</file>

<file path=xl/sharedStrings.xml><?xml version="1.0" encoding="utf-8"?>
<sst xmlns="http://schemas.openxmlformats.org/spreadsheetml/2006/main" count="5971" uniqueCount="1155">
  <si>
    <t>COLD START HIGH POWER</t>
  </si>
  <si>
    <t>HOT START HIGH POWER (OPTIONAL)</t>
  </si>
  <si>
    <t>SIMMER TEST</t>
  </si>
  <si>
    <t>Start</t>
  </si>
  <si>
    <t>Finish: when</t>
  </si>
  <si>
    <t xml:space="preserve">Finish: 45 min </t>
  </si>
  <si>
    <t>Pot #1 boils</t>
  </si>
  <si>
    <t>Qualitative data</t>
  </si>
  <si>
    <t>Measurements</t>
  </si>
  <si>
    <t>Units</t>
  </si>
  <si>
    <t>data</t>
  </si>
  <si>
    <t>label</t>
  </si>
  <si>
    <t>Name(s) of Tester(s)</t>
  </si>
  <si>
    <t>hr:min</t>
  </si>
  <si>
    <r>
      <t>t</t>
    </r>
    <r>
      <rPr>
        <vertAlign val="subscript"/>
        <sz val="9"/>
        <rFont val="Arial"/>
        <family val="2"/>
      </rPr>
      <t>ci</t>
    </r>
  </si>
  <si>
    <r>
      <t>t</t>
    </r>
    <r>
      <rPr>
        <vertAlign val="subscript"/>
        <sz val="9"/>
        <rFont val="Arial"/>
        <family val="2"/>
      </rPr>
      <t>cf</t>
    </r>
  </si>
  <si>
    <r>
      <t>t</t>
    </r>
    <r>
      <rPr>
        <vertAlign val="subscript"/>
        <sz val="9"/>
        <rFont val="Arial"/>
        <family val="2"/>
      </rPr>
      <t>hi</t>
    </r>
  </si>
  <si>
    <r>
      <t>t</t>
    </r>
    <r>
      <rPr>
        <vertAlign val="subscript"/>
        <sz val="9"/>
        <rFont val="Arial"/>
        <family val="2"/>
      </rPr>
      <t>hf</t>
    </r>
  </si>
  <si>
    <r>
      <t>t</t>
    </r>
    <r>
      <rPr>
        <vertAlign val="subscript"/>
        <sz val="9"/>
        <rFont val="Arial"/>
        <family val="2"/>
      </rPr>
      <t>si</t>
    </r>
  </si>
  <si>
    <r>
      <t>t</t>
    </r>
    <r>
      <rPr>
        <vertAlign val="subscript"/>
        <sz val="9"/>
        <rFont val="Arial"/>
        <family val="2"/>
      </rPr>
      <t>sf</t>
    </r>
  </si>
  <si>
    <t>g</t>
  </si>
  <si>
    <r>
      <t>f</t>
    </r>
    <r>
      <rPr>
        <vertAlign val="subscript"/>
        <sz val="9"/>
        <rFont val="Arial"/>
        <family val="2"/>
      </rPr>
      <t>ci</t>
    </r>
  </si>
  <si>
    <r>
      <t>f</t>
    </r>
    <r>
      <rPr>
        <vertAlign val="subscript"/>
        <sz val="9"/>
        <rFont val="Arial"/>
        <family val="2"/>
      </rPr>
      <t>cf</t>
    </r>
  </si>
  <si>
    <r>
      <t>f</t>
    </r>
    <r>
      <rPr>
        <vertAlign val="subscript"/>
        <sz val="9"/>
        <rFont val="Arial"/>
        <family val="2"/>
      </rPr>
      <t>hi</t>
    </r>
  </si>
  <si>
    <r>
      <t>f</t>
    </r>
    <r>
      <rPr>
        <vertAlign val="subscript"/>
        <sz val="9"/>
        <rFont val="Arial"/>
        <family val="2"/>
      </rPr>
      <t>hf</t>
    </r>
  </si>
  <si>
    <r>
      <t>f</t>
    </r>
    <r>
      <rPr>
        <vertAlign val="subscript"/>
        <sz val="9"/>
        <rFont val="Arial"/>
        <family val="2"/>
      </rPr>
      <t>si</t>
    </r>
  </si>
  <si>
    <r>
      <t>f</t>
    </r>
    <r>
      <rPr>
        <vertAlign val="subscript"/>
        <sz val="9"/>
        <rFont val="Arial"/>
        <family val="2"/>
      </rPr>
      <t>sf</t>
    </r>
  </si>
  <si>
    <t>Test Number</t>
  </si>
  <si>
    <t>Water temperature, Pot # 1</t>
  </si>
  <si>
    <t>ºC</t>
  </si>
  <si>
    <r>
      <t>T1</t>
    </r>
    <r>
      <rPr>
        <vertAlign val="subscript"/>
        <sz val="9"/>
        <rFont val="Arial"/>
        <family val="2"/>
      </rPr>
      <t>ci</t>
    </r>
  </si>
  <si>
    <r>
      <t>T1</t>
    </r>
    <r>
      <rPr>
        <vertAlign val="subscript"/>
        <sz val="9"/>
        <rFont val="Arial"/>
        <family val="2"/>
      </rPr>
      <t>cf</t>
    </r>
  </si>
  <si>
    <r>
      <t>T1</t>
    </r>
    <r>
      <rPr>
        <vertAlign val="subscript"/>
        <sz val="9"/>
        <rFont val="Arial"/>
        <family val="2"/>
      </rPr>
      <t>hi</t>
    </r>
  </si>
  <si>
    <r>
      <t>T1</t>
    </r>
    <r>
      <rPr>
        <vertAlign val="subscript"/>
        <sz val="9"/>
        <rFont val="Arial"/>
        <family val="2"/>
      </rPr>
      <t>hf</t>
    </r>
  </si>
  <si>
    <r>
      <t>T1</t>
    </r>
    <r>
      <rPr>
        <vertAlign val="subscript"/>
        <sz val="9"/>
        <rFont val="Arial"/>
        <family val="2"/>
      </rPr>
      <t>si</t>
    </r>
  </si>
  <si>
    <r>
      <t>T1</t>
    </r>
    <r>
      <rPr>
        <vertAlign val="subscript"/>
        <sz val="9"/>
        <rFont val="Arial"/>
        <family val="2"/>
      </rPr>
      <t>sf</t>
    </r>
  </si>
  <si>
    <t>Date</t>
  </si>
  <si>
    <t>Water temperature, Pot # 2</t>
  </si>
  <si>
    <r>
      <t>T2</t>
    </r>
    <r>
      <rPr>
        <vertAlign val="subscript"/>
        <sz val="9"/>
        <rFont val="Arial"/>
        <family val="2"/>
      </rPr>
      <t>cf</t>
    </r>
  </si>
  <si>
    <r>
      <t>T2</t>
    </r>
    <r>
      <rPr>
        <vertAlign val="subscript"/>
        <sz val="9"/>
        <rFont val="Arial"/>
        <family val="2"/>
      </rPr>
      <t>hi</t>
    </r>
  </si>
  <si>
    <r>
      <t>T2</t>
    </r>
    <r>
      <rPr>
        <vertAlign val="subscript"/>
        <sz val="9"/>
        <rFont val="Arial"/>
        <family val="2"/>
      </rPr>
      <t>hf</t>
    </r>
  </si>
  <si>
    <r>
      <t>T2</t>
    </r>
    <r>
      <rPr>
        <vertAlign val="subscript"/>
        <sz val="9"/>
        <rFont val="Arial"/>
        <family val="2"/>
      </rPr>
      <t>si</t>
    </r>
  </si>
  <si>
    <r>
      <t>T2</t>
    </r>
    <r>
      <rPr>
        <vertAlign val="subscript"/>
        <sz val="9"/>
        <rFont val="Arial"/>
        <family val="2"/>
      </rPr>
      <t>sf</t>
    </r>
  </si>
  <si>
    <t>Stove type/model</t>
  </si>
  <si>
    <t>Water temperature, Pot # 3</t>
  </si>
  <si>
    <r>
      <t>T3</t>
    </r>
    <r>
      <rPr>
        <vertAlign val="subscript"/>
        <sz val="9"/>
        <rFont val="Arial"/>
        <family val="2"/>
      </rPr>
      <t>cf</t>
    </r>
  </si>
  <si>
    <r>
      <t>T3</t>
    </r>
    <r>
      <rPr>
        <vertAlign val="subscript"/>
        <sz val="9"/>
        <rFont val="Arial"/>
        <family val="2"/>
      </rPr>
      <t>hi</t>
    </r>
  </si>
  <si>
    <r>
      <t>T3</t>
    </r>
    <r>
      <rPr>
        <vertAlign val="subscript"/>
        <sz val="9"/>
        <rFont val="Arial"/>
        <family val="2"/>
      </rPr>
      <t>hf</t>
    </r>
  </si>
  <si>
    <r>
      <t>T3</t>
    </r>
    <r>
      <rPr>
        <vertAlign val="subscript"/>
        <sz val="9"/>
        <rFont val="Arial"/>
        <family val="2"/>
      </rPr>
      <t>si</t>
    </r>
  </si>
  <si>
    <r>
      <t>T3</t>
    </r>
    <r>
      <rPr>
        <vertAlign val="subscript"/>
        <sz val="9"/>
        <rFont val="Arial"/>
        <family val="2"/>
      </rPr>
      <t>sf</t>
    </r>
  </si>
  <si>
    <t>Location</t>
  </si>
  <si>
    <t>Water temperature, Pot # 4</t>
  </si>
  <si>
    <r>
      <t>T4</t>
    </r>
    <r>
      <rPr>
        <vertAlign val="subscript"/>
        <sz val="9"/>
        <rFont val="Arial"/>
        <family val="2"/>
      </rPr>
      <t>ci</t>
    </r>
  </si>
  <si>
    <r>
      <t>T4</t>
    </r>
    <r>
      <rPr>
        <vertAlign val="subscript"/>
        <sz val="9"/>
        <rFont val="Arial"/>
        <family val="2"/>
      </rPr>
      <t>cf</t>
    </r>
  </si>
  <si>
    <r>
      <t>T4</t>
    </r>
    <r>
      <rPr>
        <vertAlign val="subscript"/>
        <sz val="9"/>
        <rFont val="Arial"/>
        <family val="2"/>
      </rPr>
      <t>hi</t>
    </r>
  </si>
  <si>
    <r>
      <t>T4</t>
    </r>
    <r>
      <rPr>
        <vertAlign val="subscript"/>
        <sz val="9"/>
        <rFont val="Arial"/>
        <family val="2"/>
      </rPr>
      <t>hf</t>
    </r>
  </si>
  <si>
    <r>
      <t>T4</t>
    </r>
    <r>
      <rPr>
        <vertAlign val="subscript"/>
        <sz val="9"/>
        <rFont val="Arial"/>
        <family val="2"/>
      </rPr>
      <t>si</t>
    </r>
  </si>
  <si>
    <r>
      <t>T4</t>
    </r>
    <r>
      <rPr>
        <vertAlign val="subscript"/>
        <sz val="9"/>
        <rFont val="Arial"/>
        <family val="2"/>
      </rPr>
      <t>sf</t>
    </r>
  </si>
  <si>
    <t>Type of fuel</t>
  </si>
  <si>
    <t>Weight of Pot # 1 with water</t>
  </si>
  <si>
    <r>
      <t>P1</t>
    </r>
    <r>
      <rPr>
        <vertAlign val="subscript"/>
        <sz val="9"/>
        <rFont val="Arial"/>
        <family val="2"/>
      </rPr>
      <t>ci</t>
    </r>
  </si>
  <si>
    <r>
      <t>P1</t>
    </r>
    <r>
      <rPr>
        <vertAlign val="subscript"/>
        <sz val="9"/>
        <rFont val="Arial"/>
        <family val="2"/>
      </rPr>
      <t>cf</t>
    </r>
  </si>
  <si>
    <r>
      <t>P1</t>
    </r>
    <r>
      <rPr>
        <vertAlign val="subscript"/>
        <sz val="9"/>
        <rFont val="Arial"/>
        <family val="2"/>
      </rPr>
      <t>hi</t>
    </r>
  </si>
  <si>
    <r>
      <t>P1</t>
    </r>
    <r>
      <rPr>
        <vertAlign val="subscript"/>
        <sz val="9"/>
        <rFont val="Arial"/>
        <family val="2"/>
      </rPr>
      <t>hf</t>
    </r>
  </si>
  <si>
    <r>
      <t>P1</t>
    </r>
    <r>
      <rPr>
        <vertAlign val="subscript"/>
        <sz val="9"/>
        <rFont val="Arial"/>
        <family val="2"/>
      </rPr>
      <t>si</t>
    </r>
  </si>
  <si>
    <r>
      <t>P1</t>
    </r>
    <r>
      <rPr>
        <vertAlign val="subscript"/>
        <sz val="9"/>
        <rFont val="Arial"/>
        <family val="2"/>
      </rPr>
      <t>sf</t>
    </r>
  </si>
  <si>
    <t>Weight of Pot # 2 with water</t>
  </si>
  <si>
    <r>
      <t>P2</t>
    </r>
    <r>
      <rPr>
        <vertAlign val="subscript"/>
        <sz val="9"/>
        <rFont val="Arial"/>
        <family val="2"/>
      </rPr>
      <t>ci</t>
    </r>
  </si>
  <si>
    <r>
      <t>P2</t>
    </r>
    <r>
      <rPr>
        <vertAlign val="subscript"/>
        <sz val="9"/>
        <rFont val="Arial"/>
        <family val="2"/>
      </rPr>
      <t>cf</t>
    </r>
  </si>
  <si>
    <r>
      <t>P2</t>
    </r>
    <r>
      <rPr>
        <vertAlign val="subscript"/>
        <sz val="9"/>
        <rFont val="Arial"/>
        <family val="2"/>
      </rPr>
      <t>hi</t>
    </r>
  </si>
  <si>
    <r>
      <t>P2</t>
    </r>
    <r>
      <rPr>
        <vertAlign val="subscript"/>
        <sz val="9"/>
        <rFont val="Arial"/>
        <family val="2"/>
      </rPr>
      <t>hf</t>
    </r>
  </si>
  <si>
    <r>
      <t>P2</t>
    </r>
    <r>
      <rPr>
        <vertAlign val="subscript"/>
        <sz val="9"/>
        <rFont val="Arial"/>
        <family val="2"/>
      </rPr>
      <t>si</t>
    </r>
  </si>
  <si>
    <r>
      <t>P2</t>
    </r>
    <r>
      <rPr>
        <vertAlign val="subscript"/>
        <sz val="9"/>
        <rFont val="Arial"/>
        <family val="2"/>
      </rPr>
      <t>sf</t>
    </r>
  </si>
  <si>
    <t>Weight of Pot # 3 with water</t>
  </si>
  <si>
    <r>
      <t>P3</t>
    </r>
    <r>
      <rPr>
        <vertAlign val="subscript"/>
        <sz val="9"/>
        <rFont val="Arial"/>
        <family val="2"/>
      </rPr>
      <t>ci</t>
    </r>
  </si>
  <si>
    <r>
      <t>P3</t>
    </r>
    <r>
      <rPr>
        <vertAlign val="subscript"/>
        <sz val="9"/>
        <rFont val="Arial"/>
        <family val="2"/>
      </rPr>
      <t>cf</t>
    </r>
  </si>
  <si>
    <r>
      <t>P3</t>
    </r>
    <r>
      <rPr>
        <vertAlign val="subscript"/>
        <sz val="9"/>
        <rFont val="Arial"/>
        <family val="2"/>
      </rPr>
      <t>hi</t>
    </r>
  </si>
  <si>
    <r>
      <t>P3</t>
    </r>
    <r>
      <rPr>
        <vertAlign val="subscript"/>
        <sz val="9"/>
        <rFont val="Arial"/>
        <family val="2"/>
      </rPr>
      <t>hf</t>
    </r>
  </si>
  <si>
    <r>
      <t>P3</t>
    </r>
    <r>
      <rPr>
        <vertAlign val="subscript"/>
        <sz val="9"/>
        <rFont val="Arial"/>
        <family val="2"/>
      </rPr>
      <t>si</t>
    </r>
  </si>
  <si>
    <r>
      <t>P3</t>
    </r>
    <r>
      <rPr>
        <vertAlign val="subscript"/>
        <sz val="9"/>
        <rFont val="Arial"/>
        <family val="2"/>
      </rPr>
      <t>sf</t>
    </r>
  </si>
  <si>
    <t>Initial Test Conditions</t>
  </si>
  <si>
    <t>Weight of Pot # 4 with water</t>
  </si>
  <si>
    <r>
      <t>P4</t>
    </r>
    <r>
      <rPr>
        <vertAlign val="subscript"/>
        <sz val="9"/>
        <rFont val="Arial"/>
        <family val="2"/>
      </rPr>
      <t>ci</t>
    </r>
  </si>
  <si>
    <r>
      <t>P4</t>
    </r>
    <r>
      <rPr>
        <vertAlign val="subscript"/>
        <sz val="9"/>
        <rFont val="Arial"/>
        <family val="2"/>
      </rPr>
      <t>cf</t>
    </r>
  </si>
  <si>
    <r>
      <t>P4</t>
    </r>
    <r>
      <rPr>
        <vertAlign val="subscript"/>
        <sz val="9"/>
        <rFont val="Arial"/>
        <family val="2"/>
      </rPr>
      <t>hi</t>
    </r>
  </si>
  <si>
    <r>
      <t>P4</t>
    </r>
    <r>
      <rPr>
        <vertAlign val="subscript"/>
        <sz val="9"/>
        <rFont val="Arial"/>
        <family val="2"/>
      </rPr>
      <t>hf</t>
    </r>
  </si>
  <si>
    <r>
      <t>P4</t>
    </r>
    <r>
      <rPr>
        <vertAlign val="subscript"/>
        <sz val="9"/>
        <rFont val="Arial"/>
        <family val="2"/>
      </rPr>
      <t>si</t>
    </r>
  </si>
  <si>
    <r>
      <t>P4</t>
    </r>
    <r>
      <rPr>
        <vertAlign val="subscript"/>
        <sz val="9"/>
        <rFont val="Arial"/>
        <family val="2"/>
      </rPr>
      <t>sf</t>
    </r>
  </si>
  <si>
    <t>Data</t>
  </si>
  <si>
    <t>value</t>
  </si>
  <si>
    <t>units</t>
  </si>
  <si>
    <t>Fire-starting materials (if any)</t>
  </si>
  <si>
    <t>--</t>
  </si>
  <si>
    <t>Dry weight of Pot # 1 (grams)</t>
  </si>
  <si>
    <t>P1</t>
  </si>
  <si>
    <t>Weight of charcoal+container</t>
  </si>
  <si>
    <r>
      <t>c</t>
    </r>
    <r>
      <rPr>
        <vertAlign val="subscript"/>
        <sz val="9"/>
        <rFont val="Arial"/>
        <family val="2"/>
      </rPr>
      <t>c</t>
    </r>
  </si>
  <si>
    <r>
      <t>c</t>
    </r>
    <r>
      <rPr>
        <vertAlign val="subscript"/>
        <sz val="9"/>
        <rFont val="Arial"/>
        <family val="2"/>
      </rPr>
      <t>h</t>
    </r>
  </si>
  <si>
    <r>
      <t>c</t>
    </r>
    <r>
      <rPr>
        <vertAlign val="subscript"/>
        <sz val="9"/>
        <rFont val="Arial"/>
        <family val="2"/>
      </rPr>
      <t>s</t>
    </r>
  </si>
  <si>
    <t>Dry weight of Pot # 2 (grams)</t>
  </si>
  <si>
    <t>P2</t>
  </si>
  <si>
    <t>Gross calorific value (dry fuel)</t>
  </si>
  <si>
    <t>kJ/kg</t>
  </si>
  <si>
    <t>HHV</t>
  </si>
  <si>
    <t>Dry weight of Pot # 3 (grams)</t>
  </si>
  <si>
    <t>P3</t>
  </si>
  <si>
    <t>Net calorific value (dry fuel)</t>
  </si>
  <si>
    <t>LHV</t>
  </si>
  <si>
    <t>Dry weight of Pot # 4 (grams)</t>
  </si>
  <si>
    <t>P4</t>
  </si>
  <si>
    <t xml:space="preserve">COLD START </t>
  </si>
  <si>
    <t>HOT START</t>
  </si>
  <si>
    <r>
      <t>SIMMER TEST</t>
    </r>
    <r>
      <rPr>
        <sz val="9"/>
        <rFont val="Arial"/>
        <family val="2"/>
      </rPr>
      <t xml:space="preserve"> (CALCULATIONS DIFFER FROM HIGH POWER TEST)</t>
    </r>
  </si>
  <si>
    <t>%</t>
  </si>
  <si>
    <t>Weight of container for char (grams)</t>
  </si>
  <si>
    <t>k</t>
  </si>
  <si>
    <t>Calculations/Results</t>
  </si>
  <si>
    <t xml:space="preserve">Local boiling point </t>
  </si>
  <si>
    <r>
      <t>T</t>
    </r>
    <r>
      <rPr>
        <vertAlign val="subscript"/>
        <sz val="9"/>
        <rFont val="Arial"/>
        <family val="2"/>
      </rPr>
      <t>b</t>
    </r>
  </si>
  <si>
    <r>
      <t>f</t>
    </r>
    <r>
      <rPr>
        <vertAlign val="subscript"/>
        <sz val="9"/>
        <rFont val="Arial"/>
        <family val="2"/>
      </rPr>
      <t>cm</t>
    </r>
  </si>
  <si>
    <r>
      <t>f</t>
    </r>
    <r>
      <rPr>
        <vertAlign val="subscript"/>
        <sz val="9"/>
        <rFont val="Arial"/>
        <family val="2"/>
      </rPr>
      <t>hm</t>
    </r>
  </si>
  <si>
    <r>
      <t>f</t>
    </r>
    <r>
      <rPr>
        <vertAlign val="subscript"/>
        <sz val="9"/>
        <rFont val="Arial"/>
        <family val="2"/>
      </rPr>
      <t>sm</t>
    </r>
  </si>
  <si>
    <t xml:space="preserve">Net change in char during test </t>
  </si>
  <si>
    <r>
      <t>Δc</t>
    </r>
    <r>
      <rPr>
        <vertAlign val="subscript"/>
        <sz val="9"/>
        <rFont val="Arial"/>
        <family val="2"/>
      </rPr>
      <t>c</t>
    </r>
  </si>
  <si>
    <r>
      <t>Δc</t>
    </r>
    <r>
      <rPr>
        <vertAlign val="subscript"/>
        <sz val="9"/>
        <rFont val="Arial"/>
        <family val="2"/>
      </rPr>
      <t>h</t>
    </r>
  </si>
  <si>
    <t>Net change in char during test phase</t>
  </si>
  <si>
    <r>
      <t>Δc</t>
    </r>
    <r>
      <rPr>
        <vertAlign val="subscript"/>
        <sz val="9"/>
        <rFont val="Arial"/>
        <family val="2"/>
      </rPr>
      <t>s</t>
    </r>
  </si>
  <si>
    <r>
      <t>f</t>
    </r>
    <r>
      <rPr>
        <vertAlign val="subscript"/>
        <sz val="9"/>
        <rFont val="Arial"/>
        <family val="2"/>
      </rPr>
      <t>cd</t>
    </r>
  </si>
  <si>
    <r>
      <t>f</t>
    </r>
    <r>
      <rPr>
        <vertAlign val="subscript"/>
        <sz val="9"/>
        <rFont val="Arial"/>
        <family val="2"/>
      </rPr>
      <t>hd</t>
    </r>
  </si>
  <si>
    <r>
      <t>f</t>
    </r>
    <r>
      <rPr>
        <vertAlign val="subscript"/>
        <sz val="9"/>
        <rFont val="Arial"/>
        <family val="2"/>
      </rPr>
      <t>sd</t>
    </r>
  </si>
  <si>
    <t>Water vaporized from all pots</t>
  </si>
  <si>
    <r>
      <t>w</t>
    </r>
    <r>
      <rPr>
        <vertAlign val="subscript"/>
        <sz val="9"/>
        <rFont val="Arial"/>
        <family val="2"/>
      </rPr>
      <t>cv</t>
    </r>
  </si>
  <si>
    <r>
      <t>w</t>
    </r>
    <r>
      <rPr>
        <vertAlign val="subscript"/>
        <sz val="9"/>
        <rFont val="Arial"/>
        <family val="2"/>
      </rPr>
      <t>hv</t>
    </r>
  </si>
  <si>
    <t>Water vaporized</t>
  </si>
  <si>
    <r>
      <t>w</t>
    </r>
    <r>
      <rPr>
        <vertAlign val="subscript"/>
        <sz val="9"/>
        <rFont val="Arial"/>
        <family val="2"/>
      </rPr>
      <t>sv</t>
    </r>
  </si>
  <si>
    <t>Effective mass of water boiled</t>
  </si>
  <si>
    <r>
      <t>w</t>
    </r>
    <r>
      <rPr>
        <vertAlign val="subscript"/>
        <sz val="9"/>
        <rFont val="Arial"/>
        <family val="2"/>
      </rPr>
      <t>cr</t>
    </r>
  </si>
  <si>
    <r>
      <t>w</t>
    </r>
    <r>
      <rPr>
        <vertAlign val="subscript"/>
        <sz val="9"/>
        <rFont val="Arial"/>
        <family val="2"/>
      </rPr>
      <t>hr</t>
    </r>
  </si>
  <si>
    <t>Water remaining at end - All Pots</t>
  </si>
  <si>
    <r>
      <t>w</t>
    </r>
    <r>
      <rPr>
        <vertAlign val="subscript"/>
        <sz val="9"/>
        <rFont val="Arial"/>
        <family val="2"/>
      </rPr>
      <t>sr</t>
    </r>
  </si>
  <si>
    <t>Time to boil Pot # 1</t>
  </si>
  <si>
    <t>min</t>
  </si>
  <si>
    <r>
      <t>Δt</t>
    </r>
    <r>
      <rPr>
        <vertAlign val="subscript"/>
        <sz val="9"/>
        <rFont val="Arial"/>
        <family val="2"/>
      </rPr>
      <t>c</t>
    </r>
  </si>
  <si>
    <r>
      <t>Δt</t>
    </r>
    <r>
      <rPr>
        <vertAlign val="subscript"/>
        <sz val="9"/>
        <rFont val="Arial"/>
        <family val="2"/>
      </rPr>
      <t>h</t>
    </r>
  </si>
  <si>
    <t>Time of simmer (should be ~45 minutes)</t>
  </si>
  <si>
    <r>
      <t>Δt</t>
    </r>
    <r>
      <rPr>
        <vertAlign val="subscript"/>
        <sz val="9"/>
        <rFont val="Arial"/>
        <family val="2"/>
      </rPr>
      <t>s</t>
    </r>
  </si>
  <si>
    <t>Temp-corr time to boil Pot # 1</t>
  </si>
  <si>
    <r>
      <t>Δt</t>
    </r>
    <r>
      <rPr>
        <vertAlign val="superscript"/>
        <sz val="9"/>
        <rFont val="Arial"/>
        <family val="2"/>
      </rPr>
      <t>T</t>
    </r>
    <r>
      <rPr>
        <vertAlign val="subscript"/>
        <sz val="9"/>
        <rFont val="Arial"/>
        <family val="2"/>
      </rPr>
      <t>c</t>
    </r>
  </si>
  <si>
    <r>
      <t>Δt</t>
    </r>
    <r>
      <rPr>
        <vertAlign val="superscript"/>
        <sz val="9"/>
        <rFont val="Arial"/>
        <family val="2"/>
      </rPr>
      <t>T</t>
    </r>
    <r>
      <rPr>
        <vertAlign val="subscript"/>
        <sz val="9"/>
        <rFont val="Arial"/>
        <family val="2"/>
      </rPr>
      <t>h</t>
    </r>
  </si>
  <si>
    <t>Thermal efficiency</t>
  </si>
  <si>
    <r>
      <t>h</t>
    </r>
    <r>
      <rPr>
        <vertAlign val="subscript"/>
        <sz val="9"/>
        <rFont val="Arial"/>
        <family val="2"/>
      </rPr>
      <t>s</t>
    </r>
  </si>
  <si>
    <r>
      <t>h</t>
    </r>
    <r>
      <rPr>
        <vertAlign val="subscript"/>
        <sz val="9"/>
        <rFont val="Arial"/>
        <family val="2"/>
      </rPr>
      <t>c</t>
    </r>
  </si>
  <si>
    <r>
      <t>h</t>
    </r>
    <r>
      <rPr>
        <vertAlign val="subscript"/>
        <sz val="9"/>
        <rFont val="Arial"/>
        <family val="2"/>
      </rPr>
      <t>h</t>
    </r>
  </si>
  <si>
    <t>Burning rate</t>
  </si>
  <si>
    <t>g/min</t>
  </si>
  <si>
    <r>
      <t>r</t>
    </r>
    <r>
      <rPr>
        <vertAlign val="subscript"/>
        <sz val="9"/>
        <rFont val="Arial"/>
        <family val="2"/>
      </rPr>
      <t>sb</t>
    </r>
  </si>
  <si>
    <r>
      <t>r</t>
    </r>
    <r>
      <rPr>
        <vertAlign val="subscript"/>
        <sz val="9"/>
        <rFont val="Arial"/>
        <family val="2"/>
      </rPr>
      <t>cb</t>
    </r>
  </si>
  <si>
    <r>
      <t>r</t>
    </r>
    <r>
      <rPr>
        <vertAlign val="subscript"/>
        <sz val="9"/>
        <rFont val="Arial"/>
        <family val="2"/>
      </rPr>
      <t>hb</t>
    </r>
  </si>
  <si>
    <t xml:space="preserve">Specific fuel consumption </t>
  </si>
  <si>
    <t>g/liter</t>
  </si>
  <si>
    <r>
      <t>SC</t>
    </r>
    <r>
      <rPr>
        <vertAlign val="subscript"/>
        <sz val="9"/>
        <rFont val="Arial"/>
        <family val="2"/>
      </rPr>
      <t>s</t>
    </r>
  </si>
  <si>
    <r>
      <t>SC</t>
    </r>
    <r>
      <rPr>
        <vertAlign val="subscript"/>
        <sz val="9"/>
        <rFont val="Arial"/>
        <family val="2"/>
      </rPr>
      <t>c</t>
    </r>
  </si>
  <si>
    <r>
      <t>SC</t>
    </r>
    <r>
      <rPr>
        <vertAlign val="subscript"/>
        <sz val="9"/>
        <rFont val="Arial"/>
        <family val="2"/>
      </rPr>
      <t>h</t>
    </r>
  </si>
  <si>
    <t>Firepower</t>
  </si>
  <si>
    <t>watts</t>
  </si>
  <si>
    <r>
      <t>FP</t>
    </r>
    <r>
      <rPr>
        <vertAlign val="subscript"/>
        <sz val="9"/>
        <rFont val="Arial"/>
        <family val="2"/>
      </rPr>
      <t>s</t>
    </r>
  </si>
  <si>
    <t xml:space="preserve">Temp-corr sp consumption </t>
  </si>
  <si>
    <r>
      <t>SC</t>
    </r>
    <r>
      <rPr>
        <vertAlign val="superscript"/>
        <sz val="9"/>
        <rFont val="Arial"/>
        <family val="2"/>
      </rPr>
      <t>T</t>
    </r>
    <r>
      <rPr>
        <vertAlign val="subscript"/>
        <sz val="9"/>
        <rFont val="Arial"/>
        <family val="2"/>
      </rPr>
      <t>c</t>
    </r>
  </si>
  <si>
    <r>
      <t>SC</t>
    </r>
    <r>
      <rPr>
        <vertAlign val="superscript"/>
        <sz val="9"/>
        <rFont val="Arial"/>
        <family val="2"/>
      </rPr>
      <t>T</t>
    </r>
    <r>
      <rPr>
        <vertAlign val="subscript"/>
        <sz val="9"/>
        <rFont val="Arial"/>
        <family val="2"/>
      </rPr>
      <t>h</t>
    </r>
  </si>
  <si>
    <t>Turn down ratio</t>
  </si>
  <si>
    <t>TDR</t>
  </si>
  <si>
    <t>Temp-corr sp energy consumpt.</t>
  </si>
  <si>
    <t>kJ/liter</t>
  </si>
  <si>
    <r>
      <t>SE</t>
    </r>
    <r>
      <rPr>
        <vertAlign val="superscript"/>
        <sz val="9"/>
        <rFont val="Arial"/>
        <family val="2"/>
      </rPr>
      <t>T</t>
    </r>
    <r>
      <rPr>
        <vertAlign val="subscript"/>
        <sz val="9"/>
        <rFont val="Arial"/>
        <family val="2"/>
      </rPr>
      <t>C</t>
    </r>
  </si>
  <si>
    <r>
      <t>SE</t>
    </r>
    <r>
      <rPr>
        <vertAlign val="superscript"/>
        <sz val="9"/>
        <rFont val="Arial"/>
        <family val="2"/>
      </rPr>
      <t>T</t>
    </r>
    <r>
      <rPr>
        <vertAlign val="subscript"/>
        <sz val="9"/>
        <rFont val="Arial"/>
        <family val="2"/>
      </rPr>
      <t>H</t>
    </r>
  </si>
  <si>
    <t>Specific Energy Consumption</t>
  </si>
  <si>
    <r>
      <t>SE</t>
    </r>
    <r>
      <rPr>
        <vertAlign val="subscript"/>
        <sz val="9"/>
        <rFont val="Arial"/>
        <family val="2"/>
      </rPr>
      <t>S</t>
    </r>
  </si>
  <si>
    <r>
      <t>FP</t>
    </r>
    <r>
      <rPr>
        <vertAlign val="subscript"/>
        <sz val="9"/>
        <rFont val="Arial"/>
        <family val="2"/>
      </rPr>
      <t>c</t>
    </r>
  </si>
  <si>
    <r>
      <t>FP</t>
    </r>
    <r>
      <rPr>
        <vertAlign val="subscript"/>
        <sz val="9"/>
        <rFont val="Arial"/>
        <family val="2"/>
      </rPr>
      <t>h</t>
    </r>
  </si>
  <si>
    <t>Fuel Benchmark to Complete 5L WBT</t>
  </si>
  <si>
    <t>BF</t>
  </si>
  <si>
    <t>Energy Benchmark to Complete 5L WBT</t>
  </si>
  <si>
    <t>kJ</t>
  </si>
  <si>
    <t>BE</t>
  </si>
  <si>
    <t>BASIC TEST DATA</t>
  </si>
  <si>
    <r>
      <t>T2</t>
    </r>
    <r>
      <rPr>
        <vertAlign val="subscript"/>
        <sz val="9"/>
        <rFont val="Arial"/>
        <family val="2"/>
      </rPr>
      <t>ci</t>
    </r>
  </si>
  <si>
    <r>
      <t>T3</t>
    </r>
    <r>
      <rPr>
        <vertAlign val="subscript"/>
        <sz val="9"/>
        <rFont val="Arial"/>
        <family val="2"/>
      </rPr>
      <t>ci</t>
    </r>
  </si>
  <si>
    <t>1. HIGH POWER TEST (COLD START)</t>
  </si>
  <si>
    <t>Test 1</t>
  </si>
  <si>
    <t>Test 2</t>
  </si>
  <si>
    <t>Test 3</t>
  </si>
  <si>
    <t>Average</t>
  </si>
  <si>
    <t>St Dev</t>
  </si>
  <si>
    <t>COV</t>
  </si>
  <si>
    <t>Temp-corrected time to boil Pot # 1</t>
  </si>
  <si>
    <t xml:space="preserve">Temp-corrected specific consumption </t>
  </si>
  <si>
    <t>Temp-corrected specific energy cons.</t>
  </si>
  <si>
    <t>2. HIGH POWER TEST (HOT START)</t>
  </si>
  <si>
    <t>3. LOW POWER (SIMMER)</t>
  </si>
  <si>
    <t>BENCHMARK VALUES (for 5L)</t>
  </si>
  <si>
    <t>Fuel Use Benchmark Value</t>
  </si>
  <si>
    <t>Energy Use Benchmark Value</t>
  </si>
  <si>
    <t>Test-1</t>
  </si>
  <si>
    <t xml:space="preserve">Instrument reading </t>
  </si>
  <si>
    <t>Test-2</t>
  </si>
  <si>
    <t xml:space="preserve"> (% dry basis)</t>
  </si>
  <si>
    <t>Piece 1</t>
  </si>
  <si>
    <t>Piece 2</t>
  </si>
  <si>
    <t>Piece 3</t>
  </si>
  <si>
    <t>Average moisture content (%)</t>
  </si>
  <si>
    <t>dry-basis</t>
  </si>
  <si>
    <t>wet-basis</t>
  </si>
  <si>
    <t>Test-3</t>
  </si>
  <si>
    <t>Fuel moisture content worksheet</t>
  </si>
  <si>
    <t>wind conditions</t>
  </si>
  <si>
    <t>Tree species</t>
  </si>
  <si>
    <t>Common name(s)</t>
  </si>
  <si>
    <t>Calorific value (kcal/kg)</t>
  </si>
  <si>
    <t>From RWEDP Report 29</t>
  </si>
  <si>
    <t>Ann avg yield</t>
  </si>
  <si>
    <t>Avg rot'n length</t>
  </si>
  <si>
    <t>Possible</t>
  </si>
  <si>
    <t>Nitrogen</t>
  </si>
  <si>
    <t>Use</t>
  </si>
  <si>
    <t>Oven-dry</t>
  </si>
  <si>
    <r>
      <t>HHV</t>
    </r>
    <r>
      <rPr>
        <b/>
        <vertAlign val="superscript"/>
        <sz val="10"/>
        <rFont val="Arial"/>
        <family val="2"/>
      </rPr>
      <t>d</t>
    </r>
  </si>
  <si>
    <t>Data on N. American trees from Cheremisinoff (1980)</t>
  </si>
  <si>
    <t>Fuel</t>
  </si>
  <si>
    <t>Calorific value (MJ/kg)</t>
  </si>
  <si>
    <t xml:space="preserve">Source </t>
  </si>
  <si>
    <t>low</t>
  </si>
  <si>
    <t>high</t>
  </si>
  <si>
    <t>average</t>
  </si>
  <si>
    <t>Source</t>
  </si>
  <si>
    <t>Scientific Name</t>
  </si>
  <si>
    <t>(m3/ha-yr)</t>
  </si>
  <si>
    <t>(yrs)</t>
  </si>
  <si>
    <t>Regenerationa</t>
  </si>
  <si>
    <t>Fixingb</t>
  </si>
  <si>
    <r>
      <t>Priority</t>
    </r>
    <r>
      <rPr>
        <b/>
        <vertAlign val="superscript"/>
        <sz val="10"/>
        <rFont val="Arial"/>
        <family val="2"/>
      </rPr>
      <t>c</t>
    </r>
  </si>
  <si>
    <t>density (kg.m^3</t>
  </si>
  <si>
    <t xml:space="preserve">high </t>
  </si>
  <si>
    <t>MJ/kg (oven dry)</t>
  </si>
  <si>
    <t xml:space="preserve">btu/lb (oven dry) </t>
  </si>
  <si>
    <t xml:space="preserve">MJ/kg (oven dry) </t>
  </si>
  <si>
    <t>acacia auriculiformis</t>
  </si>
  <si>
    <t>Kerosene</t>
  </si>
  <si>
    <t>Zhang et al., 2000</t>
  </si>
  <si>
    <t>(Select from list)</t>
  </si>
  <si>
    <t>(select from list or use defalut value of 20,000 MJ/kg)</t>
  </si>
  <si>
    <t>Acacia auriculiformis</t>
  </si>
  <si>
    <t>10-20</t>
  </si>
  <si>
    <t>S, C</t>
  </si>
  <si>
    <t>Y</t>
  </si>
  <si>
    <t>F</t>
  </si>
  <si>
    <t>600-800</t>
  </si>
  <si>
    <t xml:space="preserve">bark </t>
  </si>
  <si>
    <t>wood</t>
  </si>
  <si>
    <t xml:space="preserve">acacia decurrens </t>
  </si>
  <si>
    <t>IEA, 2005</t>
  </si>
  <si>
    <t>No wind</t>
  </si>
  <si>
    <t>LPG</t>
  </si>
  <si>
    <t>Acacia decurrens</t>
  </si>
  <si>
    <t>-</t>
  </si>
  <si>
    <t>balsam fir</t>
  </si>
  <si>
    <t xml:space="preserve">acacia mearnsi </t>
  </si>
  <si>
    <t>Smith et al, 2001</t>
  </si>
  <si>
    <t>Light breeze</t>
  </si>
  <si>
    <t>Acacia farnesiana</t>
  </si>
  <si>
    <t>beech</t>
  </si>
  <si>
    <t>acacia nilotica</t>
  </si>
  <si>
    <t>Moderate wind</t>
  </si>
  <si>
    <t>Charcoal</t>
  </si>
  <si>
    <t>Strong wind</t>
  </si>
  <si>
    <t>Coal</t>
  </si>
  <si>
    <t>Very strong wind</t>
  </si>
  <si>
    <t>Crop residues</t>
  </si>
  <si>
    <t>US DoE</t>
  </si>
  <si>
    <t>Dung</t>
  </si>
  <si>
    <t xml:space="preserve">Natural gas </t>
  </si>
  <si>
    <t>Average Hardwood</t>
  </si>
  <si>
    <t>Average Softwood (Conifer)</t>
  </si>
  <si>
    <t>Average Softwood (conifer)</t>
  </si>
  <si>
    <t>Biogas</t>
  </si>
  <si>
    <t>Abies Balsamea (Balsam Fir)</t>
  </si>
  <si>
    <t>Abies Balsamea</t>
  </si>
  <si>
    <t>Acacia leucopholea</t>
  </si>
  <si>
    <t>black cottonwood</t>
  </si>
  <si>
    <t>acacia tortilis</t>
  </si>
  <si>
    <t>Acacia Auriculiformis (Ear-Leaf Acacia, Ear-Pod Wattle)</t>
  </si>
  <si>
    <t>Acacia Auriculiformis</t>
  </si>
  <si>
    <t>ear-leaf acacia, ear-pod wattle</t>
  </si>
  <si>
    <t>Acacia mearnsii</t>
  </si>
  <si>
    <t>10-25</t>
  </si>
  <si>
    <t>700-850</t>
  </si>
  <si>
    <t>black willow</t>
  </si>
  <si>
    <t>albizia falcataria</t>
  </si>
  <si>
    <t>Acacia Decurrens  (King Wattle, Green Wattle, Sydney Black Wattle)</t>
  </si>
  <si>
    <t xml:space="preserve">Acacia Decurrens </t>
  </si>
  <si>
    <t>king wattle, green wattle, Sydney black wattle</t>
  </si>
  <si>
    <t>Albizia falcataria</t>
  </si>
  <si>
    <t>30-40</t>
  </si>
  <si>
    <t>P, T, F</t>
  </si>
  <si>
    <t>douglas fir</t>
  </si>
  <si>
    <t>albizia lebbek</t>
  </si>
  <si>
    <t>Acacia Farnesiana (Sweet Acacia, Sweet Wattle)</t>
  </si>
  <si>
    <t>Acacia Farnesiana</t>
  </si>
  <si>
    <t>sweet acacia, sweet wattle</t>
  </si>
  <si>
    <t>Albizia lebbeck</t>
  </si>
  <si>
    <t>T, F</t>
  </si>
  <si>
    <t>550-600</t>
  </si>
  <si>
    <t>eastern hemlock</t>
  </si>
  <si>
    <t>alnus rubra</t>
  </si>
  <si>
    <t>@ 1.7 % MCwet</t>
  </si>
  <si>
    <t>Acacia Leucophloea (Kikar, Kuteeera Gum)</t>
  </si>
  <si>
    <t>Acacia Leucophloea</t>
  </si>
  <si>
    <t>kikar, kuteeera gum</t>
  </si>
  <si>
    <t>Albizia procera</t>
  </si>
  <si>
    <t>elm</t>
  </si>
  <si>
    <t>anogeissus latifolia</t>
  </si>
  <si>
    <t>@ ~5 % MCwet</t>
  </si>
  <si>
    <t>Pennise et al. 2002</t>
  </si>
  <si>
    <t>Acacia Mearnsi  (Black Wattle)</t>
  </si>
  <si>
    <t xml:space="preserve">Acacia Mearnsi </t>
  </si>
  <si>
    <t>black wattle</t>
  </si>
  <si>
    <t>Alnus nepalensis</t>
  </si>
  <si>
    <t>15-20</t>
  </si>
  <si>
    <t>F, P</t>
  </si>
  <si>
    <t>320-370</t>
  </si>
  <si>
    <t>ponderosa pine</t>
  </si>
  <si>
    <t>balanites aegyptiaca</t>
  </si>
  <si>
    <t>Acacia Nilotica (Egyptian Thorn, Babul (India), Babar (Pakistan))</t>
  </si>
  <si>
    <t>Acacia Nilotica</t>
  </si>
  <si>
    <t>egyptian thorn, babul (India), babar (Pakistan)</t>
  </si>
  <si>
    <t>Alstonia macrophylla</t>
  </si>
  <si>
    <t>S</t>
  </si>
  <si>
    <t>N</t>
  </si>
  <si>
    <t>P, T</t>
  </si>
  <si>
    <t>hickory</t>
  </si>
  <si>
    <t>calliandra calothyrsus</t>
  </si>
  <si>
    <t>Acacia Tortilis (Umbrella Thorn)</t>
  </si>
  <si>
    <t>Acacia Tortilis</t>
  </si>
  <si>
    <t>umbrella thorn</t>
  </si>
  <si>
    <t>Anthocephalus cadamba</t>
  </si>
  <si>
    <t>red alder</t>
  </si>
  <si>
    <t>casuarina equistofolia</t>
  </si>
  <si>
    <t>Acer Rubrum (Red Maple)</t>
  </si>
  <si>
    <t>Acer Rubrum</t>
  </si>
  <si>
    <t>red maple</t>
  </si>
  <si>
    <t>dry</t>
  </si>
  <si>
    <t>Antidesma ghaessimbilla</t>
  </si>
  <si>
    <t>dalbergia sissoo</t>
  </si>
  <si>
    <t>Albizia Falcataria (Batai, Malucca Albizia, ,Placata)</t>
  </si>
  <si>
    <t>Albizia Falcataria</t>
  </si>
  <si>
    <t>batai, malucca albizia, ,placata</t>
  </si>
  <si>
    <t>Avicennia officinalis</t>
  </si>
  <si>
    <t>630-700</t>
  </si>
  <si>
    <t>red oak</t>
  </si>
  <si>
    <t>derris indica</t>
  </si>
  <si>
    <t xml:space="preserve">Albizia Lebbek (Lebbek, East Indian Walnut Tree) </t>
  </si>
  <si>
    <t>Albizia Lebbek</t>
  </si>
  <si>
    <t xml:space="preserve">lebbek, East Indian walnut tree; </t>
  </si>
  <si>
    <t>Bruguiera gymnorrhiza</t>
  </si>
  <si>
    <t>5-10</t>
  </si>
  <si>
    <t>700-1,000</t>
  </si>
  <si>
    <t>southern pine</t>
  </si>
  <si>
    <t>emblica ofiicinalis</t>
  </si>
  <si>
    <t>Maize stalks</t>
  </si>
  <si>
    <t>@ 9.1 % MCwet</t>
  </si>
  <si>
    <t>Albizia Procera (Albicia, Silver Bark Rain Tree)</t>
  </si>
  <si>
    <t>Albizia Procera</t>
  </si>
  <si>
    <t>albicia, silver bark rain tree</t>
  </si>
  <si>
    <t>Bruguiera parviflora</t>
  </si>
  <si>
    <t>6-10</t>
  </si>
  <si>
    <t>sycamore</t>
  </si>
  <si>
    <t>eucalyptus camaldulensis</t>
  </si>
  <si>
    <t>@ 5.0 % MCwet</t>
  </si>
  <si>
    <t>RWEDP, 1993</t>
  </si>
  <si>
    <t>Alnus Nepalensis (Nepal Alder)</t>
  </si>
  <si>
    <t>Alnus Nepalensis</t>
  </si>
  <si>
    <t>Nepal alder</t>
  </si>
  <si>
    <t>Bruguiera sexangula</t>
  </si>
  <si>
    <t>western hemlock</t>
  </si>
  <si>
    <t>eucalyptus globulus</t>
  </si>
  <si>
    <t>Wheat stalks</t>
  </si>
  <si>
    <t xml:space="preserve"> @ 7.3 % MCwet</t>
  </si>
  <si>
    <t>Alnus Rubra (Red Alder)</t>
  </si>
  <si>
    <t>Alnus Rubra</t>
  </si>
  <si>
    <t>Calliandra calothyrsus</t>
  </si>
  <si>
    <r>
      <t>10-20</t>
    </r>
    <r>
      <rPr>
        <vertAlign val="superscript"/>
        <sz val="10"/>
        <rFont val="Arial"/>
        <family val="2"/>
      </rPr>
      <t>e</t>
    </r>
  </si>
  <si>
    <t>F, T</t>
  </si>
  <si>
    <t>510-780</t>
  </si>
  <si>
    <t>western red cedar</t>
  </si>
  <si>
    <t>gliricidia sepium</t>
  </si>
  <si>
    <t>Cassia fistula</t>
  </si>
  <si>
    <t xml:space="preserve">white oak </t>
  </si>
  <si>
    <t>gmelina arborea</t>
  </si>
  <si>
    <t>Rice stalks</t>
  </si>
  <si>
    <t>@ 8.8 % MCwet</t>
  </si>
  <si>
    <t>Alstonia Macrophylla (Devil Tree)</t>
  </si>
  <si>
    <t>Alstonia Macrophylla</t>
  </si>
  <si>
    <t xml:space="preserve">devil tree, </t>
  </si>
  <si>
    <t>Cassia siamea</t>
  </si>
  <si>
    <t>10-15</t>
  </si>
  <si>
    <t>leucaena leucocephala</t>
  </si>
  <si>
    <t>Anogeissus Latifolia (Axle-Wood Tree, Dhausa (Hindi))</t>
  </si>
  <si>
    <t>Anogeissus Latifolia</t>
  </si>
  <si>
    <t xml:space="preserve">axle-wood tree, dhausa (Hindi) </t>
  </si>
  <si>
    <t>Cassuarina equisetifolia</t>
  </si>
  <si>
    <t>5-15</t>
  </si>
  <si>
    <t>800-1,200</t>
  </si>
  <si>
    <t>melia azedarach</t>
  </si>
  <si>
    <t>@ 7.3 % MCwet</t>
  </si>
  <si>
    <t>Anthocephalus Cadamba (Labula (Indonesia))</t>
  </si>
  <si>
    <t>Anthocephalus Cadamba</t>
  </si>
  <si>
    <t>Labula (Indonesia)</t>
  </si>
  <si>
    <t>Ceriops tangal</t>
  </si>
  <si>
    <t>pithecellobium dulce</t>
  </si>
  <si>
    <t>Antidesma Ghaessimbilla</t>
  </si>
  <si>
    <t>Cocus nucifera</t>
  </si>
  <si>
    <t>populus euphratica</t>
  </si>
  <si>
    <t>Avicennia Officinalis (Mangrove, Api-Api Sudu (Philippines))</t>
  </si>
  <si>
    <t>Avicennia Officinalis</t>
  </si>
  <si>
    <t>mangrove, api-api sudu (Philippines)</t>
  </si>
  <si>
    <t>Cordia dichotoma</t>
  </si>
  <si>
    <t>T</t>
  </si>
  <si>
    <t>prosopis cineraria</t>
  </si>
  <si>
    <t>China</t>
  </si>
  <si>
    <t>Balanites Aegyptiaca (Desert Date, Thorn Tree, Soapberry Tree)</t>
  </si>
  <si>
    <t>Balanites Aegyptiaca</t>
  </si>
  <si>
    <t>desert date, thorn tree, soapberry tree</t>
  </si>
  <si>
    <t>Dalbergia latifolia</t>
  </si>
  <si>
    <t xml:space="preserve">psidium guajava </t>
  </si>
  <si>
    <t>@ 2.1 % MCwet</t>
  </si>
  <si>
    <t>Bruguiera Gymnorrhiza (Black Mangrove, Large-Leafed Mangrove)</t>
  </si>
  <si>
    <t>Bruguiera Gymnorrhiza</t>
  </si>
  <si>
    <t>black mangrove, large-leafed mangrove</t>
  </si>
  <si>
    <t>Dalbergis sissoo</t>
  </si>
  <si>
    <t>rhizophera spp</t>
  </si>
  <si>
    <t>China (washed)</t>
  </si>
  <si>
    <t>@ 4.7 % MCwet</t>
  </si>
  <si>
    <t>Bruguiera Parviflora (Thua Shale, Slender-Fruited Orange Mangrove)</t>
  </si>
  <si>
    <t>Bruguiera Parviflora</t>
  </si>
  <si>
    <t>thua shale, slender-fruited orange mangrove</t>
  </si>
  <si>
    <t>Derris indica</t>
  </si>
  <si>
    <t>sapium sebiferum</t>
  </si>
  <si>
    <t>US</t>
  </si>
  <si>
    <t>Bruguiera Sexangula (Orange Mangrove)</t>
  </si>
  <si>
    <t>Bruguiera Sexangula</t>
  </si>
  <si>
    <t>orange mangrove</t>
  </si>
  <si>
    <t>Diospyros philippinensis</t>
  </si>
  <si>
    <t>syzygium cumini</t>
  </si>
  <si>
    <t>India</t>
  </si>
  <si>
    <t>Calliandra Calothyrsus (Calliandra)</t>
  </si>
  <si>
    <t>Calliandra Calothyrsus</t>
  </si>
  <si>
    <t>calliandra</t>
  </si>
  <si>
    <t>Diospyros philosanthera</t>
  </si>
  <si>
    <t>trema spp</t>
  </si>
  <si>
    <t>South Africa</t>
  </si>
  <si>
    <t>Carya Spp (Hickory)</t>
  </si>
  <si>
    <t>Carya Spp</t>
  </si>
  <si>
    <t>Eucalyptus camaldulensis</t>
  </si>
  <si>
    <t>17-35f</t>
  </si>
  <si>
    <t>7-10f</t>
  </si>
  <si>
    <t>zizyphus mauritania</t>
  </si>
  <si>
    <t>Cassia Fistula (Cassia Stick Tree, Guayaba Cimarrona, Canafistula, Golden Shower, Indian Laburnum, Baton ‎Casse, Chacara, Nanban-Saikati, Kachang Kayu (Woody Bean), Kallober, Keyok, Klober)</t>
  </si>
  <si>
    <t>Cassia Fistula</t>
  </si>
  <si>
    <t>cassia stick tree, guayaba cimarrona, canafistula, golden shower, Indian laburnum, baton ‎casse, chacara, nanban-saikati, kachang kayu (woody bean), kallober, keyok, klober</t>
  </si>
  <si>
    <t>Eucalyptus deglupta</t>
  </si>
  <si>
    <t>abies balsamea</t>
  </si>
  <si>
    <t>Cassia Siamea (Siamese Cassia)</t>
  </si>
  <si>
    <t>Cassia Siamea</t>
  </si>
  <si>
    <t>siamese cassia</t>
  </si>
  <si>
    <t>Eucalyptus globulus</t>
  </si>
  <si>
    <t>10-30</t>
  </si>
  <si>
    <t>800-1,000</t>
  </si>
  <si>
    <t>acer rubrum</t>
  </si>
  <si>
    <t>Casuarina Equistofolia (Casuarina, She-Oak, Whistling Pine)</t>
  </si>
  <si>
    <t>Casuarina Equistofolia</t>
  </si>
  <si>
    <t>casuarina, she-oak, whistling pine</t>
  </si>
  <si>
    <t>Eucalyptus grandis</t>
  </si>
  <si>
    <t>17-60</t>
  </si>
  <si>
    <t>400-550</t>
  </si>
  <si>
    <t>Ceriops Tagal (Tagal Mangrove, Kandal)</t>
  </si>
  <si>
    <t>Ceriops Tagal</t>
  </si>
  <si>
    <t>tagal mangrove, kandal</t>
  </si>
  <si>
    <t>Gliricidia Sepium</t>
  </si>
  <si>
    <t>8-20</t>
  </si>
  <si>
    <t>P, F</t>
  </si>
  <si>
    <t>carya spp</t>
  </si>
  <si>
    <t>Cocus Nucifera (Coconut Palm)</t>
  </si>
  <si>
    <t>Cocus Nucifera</t>
  </si>
  <si>
    <t>coconut palm</t>
  </si>
  <si>
    <t>Gigantochloa apus</t>
  </si>
  <si>
    <t>fagus spp</t>
  </si>
  <si>
    <t>Cordia Dichotoma (Anunang (Philippines), Bird Lime Tree)</t>
  </si>
  <si>
    <t>Cordia Dichotoma</t>
  </si>
  <si>
    <t>anunang (Philippines), bird lime tree</t>
  </si>
  <si>
    <t>Lagerstroemia speciosa</t>
  </si>
  <si>
    <t>pinus elliotii</t>
  </si>
  <si>
    <t>Dalbergia Latifolia (East Indian Rosewood, Malabar Rosewood, Sitsal, Beete, Shisham)</t>
  </si>
  <si>
    <t>Dalbergia Latifolia</t>
  </si>
  <si>
    <t>East Indian rosewood, Malabar rosewood, sitsal, beete, shisham</t>
  </si>
  <si>
    <t>Leucaena leucocephala</t>
  </si>
  <si>
    <r>
      <t>30-40</t>
    </r>
    <r>
      <rPr>
        <vertAlign val="superscript"/>
        <sz val="10"/>
        <rFont val="Arial"/>
        <family val="2"/>
      </rPr>
      <t>h</t>
    </r>
  </si>
  <si>
    <t>5-10h</t>
  </si>
  <si>
    <t>530-580</t>
  </si>
  <si>
    <t>pinus ponderosa</t>
  </si>
  <si>
    <t>Dalbergia Sissoo (Sissoo, Shisham, Karra, Shewa)</t>
  </si>
  <si>
    <t>Dalbergia Sissoo</t>
  </si>
  <si>
    <t>sissoo, shisham, karra, shewa</t>
  </si>
  <si>
    <t>Prosopis pallida</t>
  </si>
  <si>
    <t>platanus occidentalis</t>
  </si>
  <si>
    <t>Derris Indica (India: Pongam, Ponga, Kona, Kanji, Karanja, Karanda; English: Indian Beech)</t>
  </si>
  <si>
    <t>Derris Indica</t>
  </si>
  <si>
    <t>India: pongam, ponga, kona, kanji, karanja, karanda; English: Indian beech</t>
  </si>
  <si>
    <t>Rhizophora apiculata</t>
  </si>
  <si>
    <t>populus trichocarpa</t>
  </si>
  <si>
    <t>Diospyros Philippinensis (Kamagong (Philippines))</t>
  </si>
  <si>
    <t>Diospyros Philippinensis</t>
  </si>
  <si>
    <t>kamagong (Philippines)</t>
  </si>
  <si>
    <t>Rhizophora mucronata</t>
  </si>
  <si>
    <t>pseudotsuga menziesii</t>
  </si>
  <si>
    <t>Diospyros Philosanthera (Bolong-Eta (Philippines))</t>
  </si>
  <si>
    <t>Diospyros Philosanthera</t>
  </si>
  <si>
    <t>bolong-eta (Philippines)</t>
  </si>
  <si>
    <t>Schima noronhae</t>
  </si>
  <si>
    <t>5-12</t>
  </si>
  <si>
    <t>quercus bicolor</t>
  </si>
  <si>
    <t>Emblica Ofiicinalis (Madre De Cacao, Kakauati (Philippines), Mexican Lilac, Madera Negra)</t>
  </si>
  <si>
    <t>Emblica Ofiicinalis</t>
  </si>
  <si>
    <t>Madre de cacao, kakauati (Philippines), Mexican lilac, madera negra</t>
  </si>
  <si>
    <t>air dry</t>
  </si>
  <si>
    <t>Schleichera oleosa</t>
  </si>
  <si>
    <t xml:space="preserve">quercus rubra </t>
  </si>
  <si>
    <t>Eucalyptus Camaldulensis (Red River Gum, Red Gum)</t>
  </si>
  <si>
    <t>Eucalyptus Camaldulensis</t>
  </si>
  <si>
    <t>red river gum, red gum</t>
  </si>
  <si>
    <t>Sesbania grandiflora</t>
  </si>
  <si>
    <r>
      <t>15-25</t>
    </r>
    <r>
      <rPr>
        <vertAlign val="superscript"/>
        <sz val="10"/>
        <rFont val="Arial"/>
        <family val="2"/>
      </rPr>
      <t>i</t>
    </r>
  </si>
  <si>
    <t>3-7i</t>
  </si>
  <si>
    <t>thuja plicata</t>
  </si>
  <si>
    <t>Eucalyptus Deglupta (Rainbow Gum Tree)</t>
  </si>
  <si>
    <t>Eucalyptus Deglupta</t>
  </si>
  <si>
    <t>rainbow gum tree</t>
  </si>
  <si>
    <t>Swietenia Macrophylla</t>
  </si>
  <si>
    <t>tsuga canadensis</t>
  </si>
  <si>
    <t>Eucalyptus Globulus (Southern Blue Gum, Fever Tree)</t>
  </si>
  <si>
    <t>Eucalyptus Globulus</t>
  </si>
  <si>
    <t>southern blue gum, fever tree</t>
  </si>
  <si>
    <t>Syzygium cumini</t>
  </si>
  <si>
    <t>tsuga heterophylla</t>
  </si>
  <si>
    <t>Eucalyptus Grandis (Rose Gum, Grand Eucalyptus)</t>
  </si>
  <si>
    <t>Eucalyptus Grandis</t>
  </si>
  <si>
    <t>rose gum, grand eucalyptus</t>
  </si>
  <si>
    <t>Xylocarpus granatum</t>
  </si>
  <si>
    <t>ulmus spp</t>
  </si>
  <si>
    <t>Fagus Spp (Beech)</t>
  </si>
  <si>
    <t>Fagus Spp</t>
  </si>
  <si>
    <t>Xylocarpus moluccensis</t>
  </si>
  <si>
    <t>Gigantochloa Apus (Pring Tali, Tabasheer Bamboo)</t>
  </si>
  <si>
    <t>Gigantochloa Apus</t>
  </si>
  <si>
    <t>pring tali, tabasheer bamboo</t>
  </si>
  <si>
    <t>Zizyphus talanai</t>
  </si>
  <si>
    <t>cacahuananche, madre de cacao</t>
  </si>
  <si>
    <t>Gmelina Arborea (Gmelina, Gumhar (India))</t>
  </si>
  <si>
    <t>Gmelina Arborea</t>
  </si>
  <si>
    <t>gmelina, gumhar (India)</t>
  </si>
  <si>
    <t>Sources: Adapted from the University of Philippines (1981) and NAS (1980).</t>
  </si>
  <si>
    <t>Lagerstroemia Speciosa (Queen's Crape Myrtle, Giant Crape Myrtle)</t>
  </si>
  <si>
    <t>Lagerstroemia Speciosa</t>
  </si>
  <si>
    <t>queen's crape myrtle, giant crape myrtle</t>
  </si>
  <si>
    <t>Notes:</t>
  </si>
  <si>
    <t>Leucaena Leucocephala (Leucaena, Ipil-Ipil (Philippines), Uaxin (Latin America), Lamtora (Indonesia), Lead Tree)</t>
  </si>
  <si>
    <t>Leucaena Leucocephala</t>
  </si>
  <si>
    <t>leucaena, ipil-ipil (Philippines), uaxin (Latin America), lamtora (Indonesia), lead tree</t>
  </si>
  <si>
    <t>Characteristics are presented for more than 60 trees or palms that have been or may be used as energy</t>
  </si>
  <si>
    <t>Melia Azedarach (China Berry, Persian Lilac, Bead Tree, Cape Lilac)</t>
  </si>
  <si>
    <t>Melia Azedarach</t>
  </si>
  <si>
    <t>China berry, Persian lilac, bead tree, cape lilac</t>
  </si>
  <si>
    <t>sources. However, many species also have alternative or better uses, such as timber. The values in the table</t>
  </si>
  <si>
    <t>Pinus Elliotii (Southern Pine)</t>
  </si>
  <si>
    <t>Pinus Elliotii</t>
  </si>
  <si>
    <t>above are not always comparable; since data come from a variety of studies, uniformity of measurements and</t>
  </si>
  <si>
    <t>Pinus Ponderosa (Ponderosa Pine)</t>
  </si>
  <si>
    <t>Pinus Ponderosa</t>
  </si>
  <si>
    <t>consistency of definitions cannot be assured. Some data are based on small species trials, making these date</t>
  </si>
  <si>
    <t>Pithecellobium Dulce (Quamachil, Guamuchil (Mexico), Manila Tamarind)</t>
  </si>
  <si>
    <t>Pithecellobium Dulce</t>
  </si>
  <si>
    <t>quamachil, guamuchil (Mexico), Manila tamarind</t>
  </si>
  <si>
    <t>only instructive, not definitive. Great care needs to be taken, especially with air-dry density and calorific value</t>
  </si>
  <si>
    <t>Platanus Occidentalis (Sycamore)</t>
  </si>
  <si>
    <t>Platanus Occidentalis</t>
  </si>
  <si>
    <t>estimates. Unfortunately, the moisture content for the air-dry weight was usually not given in most research.</t>
  </si>
  <si>
    <t>Populus Euphratica (Euphrates Poplar, Saf-Saf, Indian Poplar)</t>
  </si>
  <si>
    <t>Populus Euphratica</t>
  </si>
  <si>
    <t>Euphrates poplar, saf-saf, Indian poplar</t>
  </si>
  <si>
    <t>Calorific values generally are assumed to be high heat values-oven-dry energy contents. Rounding errors and</t>
  </si>
  <si>
    <t>Populus Trichocarpa (Black Cottonwood)</t>
  </si>
  <si>
    <t>Populus Trichocarpa</t>
  </si>
  <si>
    <t>varying measurement conditions, however, make the data on HHV suggestive at best. These problems may not</t>
  </si>
  <si>
    <t>Prosopis Cineraria (Jand, Khejri (India))</t>
  </si>
  <si>
    <t>Prosopis Cineraria</t>
  </si>
  <si>
    <t>jand, khejri (India)</t>
  </si>
  <si>
    <t>be too critical to rough estimates since energy contents do not vary widely among most species. An average</t>
  </si>
  <si>
    <t>Prosopis Pallida (Kiawe)</t>
  </si>
  <si>
    <t>Prosopis Pallida</t>
  </si>
  <si>
    <t xml:space="preserve">kiawe </t>
  </si>
  <si>
    <t>wood value often used is 15 MJ/kg at 15 percent mcwb, or 13 MJ/kg at 25 percent mcwb. The table does not</t>
  </si>
  <si>
    <t>Pseudotsuga Menziesii (Douglas Fir)</t>
  </si>
  <si>
    <t>Pseudotsuga Menziesii</t>
  </si>
  <si>
    <t>mean to suggest that every species be used as fuelwood; it merely gives particular characteristics.</t>
  </si>
  <si>
    <t>Psidium Guajava  (Guava, Guayaba)</t>
  </si>
  <si>
    <t xml:space="preserve">Psidium Guajava </t>
  </si>
  <si>
    <t>guava, guayaba</t>
  </si>
  <si>
    <t>a Regeneration code: C means tree can be coppiced; S means that regeneration is primarily from seeds or</t>
  </si>
  <si>
    <t>Quercus Bicolor (White Oak)</t>
  </si>
  <si>
    <t>Quercus Bicolor</t>
  </si>
  <si>
    <t>plantings.</t>
  </si>
  <si>
    <t>Quercus Rubra  (Red Oak)</t>
  </si>
  <si>
    <t xml:space="preserve">Quercus Rubra </t>
  </si>
  <si>
    <t>b Nitrogen-fixing code: Y means that the plant has the ability to fix nitrogen and thereby will enrich the soil; N</t>
  </si>
  <si>
    <r>
      <t xml:space="preserve">Rhizophera Spp (Mangrove Spp (Also </t>
    </r>
    <r>
      <rPr>
        <i/>
        <sz val="10"/>
        <rFont val="Arial"/>
        <family val="2"/>
      </rPr>
      <t>Avicennia Spp</t>
    </r>
    <r>
      <rPr>
        <sz val="10"/>
        <rFont val="Arial"/>
        <family val="2"/>
      </rPr>
      <t>))</t>
    </r>
  </si>
  <si>
    <t>Rhizophera Spp</t>
  </si>
  <si>
    <r>
      <t xml:space="preserve">mangrove spp (also </t>
    </r>
    <r>
      <rPr>
        <i/>
        <sz val="10"/>
        <rFont val="Arial"/>
        <family val="2"/>
      </rPr>
      <t>avicennia spp</t>
    </r>
    <r>
      <rPr>
        <sz val="10"/>
        <rFont val="Arial"/>
        <family val="2"/>
      </rPr>
      <t>)</t>
    </r>
  </si>
  <si>
    <t>means that the plant does not fix nitrogen.</t>
  </si>
  <si>
    <t>Sapium Sebiferum (Chinese Tallow Tree, Soap Tree, Tarchabi (Pahari) Shishum (India))</t>
  </si>
  <si>
    <t>Sapium Sebiferum</t>
  </si>
  <si>
    <t>Chinese tallow tree, soap tree, tarchabi (pahari) shishum (India)</t>
  </si>
  <si>
    <t>c Use priority provides a hierarchy of uses for the plant, with P indicating pulpwood, T timber, and F fuelwood.</t>
  </si>
  <si>
    <t>Schima Noronhae</t>
  </si>
  <si>
    <t>The typical ranking of use priority is indicated by the order of the symbols, although priority may change among</t>
  </si>
  <si>
    <t>Schleichera Oleosa (Kosambi (Indonesia), Lac Tree)</t>
  </si>
  <si>
    <t>Schleichera Oleosa</t>
  </si>
  <si>
    <t>kosambi (Indonesia), lac tree</t>
  </si>
  <si>
    <t>different users.</t>
  </si>
  <si>
    <t>Sesbania Grandiflora (Scarlet Wisteria Tree, Agati, Corkwood Tree, West Indian Pea)</t>
  </si>
  <si>
    <t>Sesbania Grandiflora</t>
  </si>
  <si>
    <t>scarlet wisteria tree, agati, corkwood tree, West Indian pea</t>
  </si>
  <si>
    <t>d HHVs may vary by 10-20 percent.</t>
  </si>
  <si>
    <t>Swietenia Macrophylla (Brazilian Mahogany, Caoba, Honduras Mahogany, Big Leaf Mahogany)</t>
  </si>
  <si>
    <t>Brazilian mahogany, caoba, Honduras mahogany, bigleaf mahogany</t>
  </si>
  <si>
    <t>e Average yields often increase to 30-65 m3/ha.yr after the first cutting at six months to a year.</t>
  </si>
  <si>
    <t>Syzygium Cumini (Jambolan, Java Plum)</t>
  </si>
  <si>
    <t>Syzygium Cumini</t>
  </si>
  <si>
    <t>jambolan, Java plum</t>
  </si>
  <si>
    <t>f Values are given for good sites; poor, dry sites average 2-11 m3/ha on a 10-14 year rotation.</t>
  </si>
  <si>
    <t>Thuja Plicata (Western Red Cedar)</t>
  </si>
  <si>
    <t>Thuja Plicata</t>
  </si>
  <si>
    <t>g Also known as Gliricidia maculata.</t>
  </si>
  <si>
    <t>Trema Spp</t>
  </si>
  <si>
    <t>h Well-managed plantations of giant L. leucocephala report 50-100 m3/ha.yr on a 3-5 year rotation.</t>
  </si>
  <si>
    <t>Tsuga Canadensis (Eastern Hemlock)</t>
  </si>
  <si>
    <t>Tsuga Canadensis</t>
  </si>
  <si>
    <t>i Data for well-managed plantations.</t>
  </si>
  <si>
    <t>Tsuga Heterophylla (Western Hemlock)</t>
  </si>
  <si>
    <t>Tsuga Heterophylla</t>
  </si>
  <si>
    <t>Ulmus Spp (Elm)</t>
  </si>
  <si>
    <t>Ulmus Spp</t>
  </si>
  <si>
    <t>Xylocarpus Granatum (Cannonball Mangrove, Cedar Mangrove)</t>
  </si>
  <si>
    <t>Xylocarpus Granatum</t>
  </si>
  <si>
    <t>cannonball mangrove, cedar mangrove</t>
  </si>
  <si>
    <t>Xylocarpus Moluccensis (Cedar Mangrove)</t>
  </si>
  <si>
    <t>Xylocarpus Moluccensis</t>
  </si>
  <si>
    <t>cedar mangrove</t>
  </si>
  <si>
    <t>Gfiricidia sepiumg</t>
  </si>
  <si>
    <t>Zizyphus Mauritania (Indian Jujube, Indian Plum)</t>
  </si>
  <si>
    <t>Zizyphus Mauritania</t>
  </si>
  <si>
    <t>Indian jujube, Indian plum</t>
  </si>
  <si>
    <t>Zizyphus Talanai</t>
  </si>
  <si>
    <t>Statistical Summary</t>
  </si>
  <si>
    <t>Minimum</t>
  </si>
  <si>
    <t>Sources</t>
  </si>
  <si>
    <t>Maximum</t>
  </si>
  <si>
    <t>standard Deviation</t>
  </si>
  <si>
    <t>Percentiles: 25th</t>
  </si>
  <si>
    <t>50th</t>
  </si>
  <si>
    <t>75th</t>
  </si>
  <si>
    <t>NAS (1980). Firewood Crops. Washington DC, National Academy of Sciences.</t>
  </si>
  <si>
    <t>Cheremisinoff, N. (1980). Properties of Wood. Wood for Energy Production. Ann Arbor, MI, Ann Arbor Science: 31-43.</t>
  </si>
  <si>
    <t>Harker, A. P., A. Sandels, et al. (1982). Calorific values for wood and bark and a bibliography for fuelwood. London, Tropical Products Institute: 20.</t>
  </si>
  <si>
    <t>FAO (1993). Energy and Environment Basics. Bangkok, Regional Wood Energy Development Program (RWEDP): 85.</t>
  </si>
  <si>
    <t>Cold Start</t>
  </si>
  <si>
    <t>Hot Start</t>
  </si>
  <si>
    <t>Simmer</t>
  </si>
  <si>
    <t>End</t>
  </si>
  <si>
    <t>Time</t>
  </si>
  <si>
    <t>Water Temperature, Pot 1</t>
  </si>
  <si>
    <t>Water Temperature, Pot 2</t>
  </si>
  <si>
    <t>Water Temperature, Pot 3</t>
  </si>
  <si>
    <t>Water Temperature, Pot 4</t>
  </si>
  <si>
    <t>Weight of Pot 1 with water</t>
  </si>
  <si>
    <t>Weight of Pot 2 with water</t>
  </si>
  <si>
    <t>Weight of Pot 3 with water</t>
  </si>
  <si>
    <t>Weight of Pot 4 with water</t>
  </si>
  <si>
    <t>Fire Starting Materials</t>
  </si>
  <si>
    <t>Name of Tester(s)</t>
  </si>
  <si>
    <t>Manufactured by</t>
  </si>
  <si>
    <t>Stove Type/Model</t>
  </si>
  <si>
    <t>Test Location</t>
  </si>
  <si>
    <t>Test Number or Code</t>
  </si>
  <si>
    <t>Description and Notes</t>
  </si>
  <si>
    <t>Air temperature</t>
  </si>
  <si>
    <t xml:space="preserve">Local boiling point (C) </t>
  </si>
  <si>
    <t>Air relative humidity (%)</t>
  </si>
  <si>
    <t>Ambient conditions</t>
  </si>
  <si>
    <t>Test &amp; stove description</t>
  </si>
  <si>
    <t>Fuel description</t>
  </si>
  <si>
    <t>Your general description</t>
  </si>
  <si>
    <t>Manufactured</t>
  </si>
  <si>
    <t>Cut to size</t>
  </si>
  <si>
    <t>Natural</t>
  </si>
  <si>
    <t>Liquid</t>
  </si>
  <si>
    <t>Briquettes</t>
  </si>
  <si>
    <t>Gel</t>
  </si>
  <si>
    <t>Fuel type</t>
  </si>
  <si>
    <t>Time (in 24 hour form)</t>
  </si>
  <si>
    <t>Check box if you have a measured calorific value</t>
  </si>
  <si>
    <t>Average length (cm)</t>
  </si>
  <si>
    <t>Cross-sectional dimensions (cm x cm)</t>
  </si>
  <si>
    <t>HHV,kJ/kg</t>
  </si>
  <si>
    <t>LHV,kJ/kg</t>
  </si>
  <si>
    <t>Wind conditions</t>
  </si>
  <si>
    <t>HHV, kJ/kg</t>
  </si>
  <si>
    <t>notes</t>
  </si>
  <si>
    <t>Measured gross calorific value</t>
  </si>
  <si>
    <t>Assumed net calorific value</t>
  </si>
  <si>
    <t>LHV, kJ/kg</t>
  </si>
  <si>
    <t>Gross calorific value</t>
  </si>
  <si>
    <t>Net calorific value</t>
  </si>
  <si>
    <t>HHV measured, kJ/kg</t>
  </si>
  <si>
    <t>If possible, enter a calorific value from measurements of local fuel below.</t>
  </si>
  <si>
    <t>Values to be used for tests</t>
  </si>
  <si>
    <t>Default values (looked up)</t>
  </si>
  <si>
    <t>Measured net calorific value</t>
  </si>
  <si>
    <t>Char, kJ/kg</t>
  </si>
  <si>
    <t>Char calorific value</t>
  </si>
  <si>
    <t>Notes about this test:</t>
  </si>
  <si>
    <t>How is fire started?</t>
  </si>
  <si>
    <t>Description of firestarter (e.g. paper, fluid) and small wood or kindling</t>
  </si>
  <si>
    <t>When do you add new fuel to the fire?</t>
  </si>
  <si>
    <t>How much fuel do you add at one time?</t>
  </si>
  <si>
    <t>Description of operation during the high-power test</t>
  </si>
  <si>
    <t>How often do you feed the fire without adding fuel (e.g. push sticks)?</t>
  </si>
  <si>
    <t>Description of operation during the simmering test</t>
  </si>
  <si>
    <t>Do you control the air above or below the fire? 
If so, what do you do?</t>
  </si>
  <si>
    <t>(note: Kindling should be weighed and reported with wood)</t>
  </si>
  <si>
    <t>Notes on the High Power - Cold Start Test. Add description only if it differs from "General Information" sheet</t>
  </si>
  <si>
    <t>DATA AND CALCULATION FORM (for one to four pots)*</t>
  </si>
  <si>
    <t xml:space="preserve">Shaded cells and arrows require user input; unshaded cells automatically display outputs </t>
  </si>
  <si>
    <t>If you are determining fuel moisture with the Delmhorst J-2000 or similar handheld moisture meter, take 3 pieces of fuel at random from the stock used for each test and measure each in three places along its length.  Enter the results in the gray spaces below.  The worksheet will automatically calculate average moisture content on a dry and wet basis.</t>
  </si>
  <si>
    <t>Ambient temperature</t>
  </si>
  <si>
    <t>TEST #</t>
  </si>
  <si>
    <t>All cells are linked to data worksheets, no entries are required</t>
  </si>
  <si>
    <t>These values are not linked to the Test sheets. This sheet is provided so you can print an easy data entry form. You will have to enter these values in each Test sheet to obtain the calculations.</t>
  </si>
  <si>
    <t>Method used to obtain wood moisture:</t>
  </si>
  <si>
    <t>version#</t>
  </si>
  <si>
    <t>Air Temperature</t>
  </si>
  <si>
    <t>Name of Testers</t>
  </si>
  <si>
    <t>Fuel Dimensions</t>
  </si>
  <si>
    <t>Fuel Type</t>
  </si>
  <si>
    <t>Notes</t>
  </si>
  <si>
    <t>Dry Weight Pot 1</t>
  </si>
  <si>
    <t>Dry Weight Pot 2</t>
  </si>
  <si>
    <t>Dry Weight Pot 3</t>
  </si>
  <si>
    <t>Dry Weight Pot 4</t>
  </si>
  <si>
    <t>Weight Container for Char</t>
  </si>
  <si>
    <t>Wind Conditions</t>
  </si>
  <si>
    <t>Moisture Content (wet basis)</t>
  </si>
  <si>
    <t>Local Boiling Point *</t>
  </si>
  <si>
    <t>* enter on General Information</t>
  </si>
  <si>
    <t>If you are using another means to determine fuel moisture, ignore this worksheet and enter the moisture in the proper space on each Test's data form.</t>
  </si>
  <si>
    <t>Fuel dimensions</t>
  </si>
  <si>
    <t>Water Boiling Test - Test Entry Form</t>
  </si>
  <si>
    <t>Ethanol</t>
  </si>
  <si>
    <t>Methanol</t>
  </si>
  <si>
    <t>Notes or description about stove or operation not included elsewhere on this form</t>
  </si>
  <si>
    <t>Emission testing</t>
  </si>
  <si>
    <t>Pitot delta-P</t>
  </si>
  <si>
    <t>Hood flow rate (m3/hr)</t>
  </si>
  <si>
    <t>Background concentrations: CO2</t>
  </si>
  <si>
    <t>ppm</t>
  </si>
  <si>
    <t xml:space="preserve">   (accounting for fuel moisture)</t>
  </si>
  <si>
    <t xml:space="preserve">Effective calorific value </t>
  </si>
  <si>
    <t xml:space="preserve">     CO</t>
  </si>
  <si>
    <t xml:space="preserve">     PM</t>
  </si>
  <si>
    <t>CO2,b</t>
  </si>
  <si>
    <t>CO,b</t>
  </si>
  <si>
    <t>PM,b</t>
  </si>
  <si>
    <t>Average PM</t>
  </si>
  <si>
    <t>ug/m3</t>
  </si>
  <si>
    <t>Average CO2</t>
  </si>
  <si>
    <t>Average CO</t>
  </si>
  <si>
    <r>
      <t>CO2</t>
    </r>
    <r>
      <rPr>
        <vertAlign val="subscript"/>
        <sz val="9"/>
        <rFont val="Arial"/>
        <family val="2"/>
      </rPr>
      <t>c</t>
    </r>
  </si>
  <si>
    <r>
      <t>CO</t>
    </r>
    <r>
      <rPr>
        <vertAlign val="subscript"/>
        <sz val="9"/>
        <rFont val="Arial"/>
        <family val="2"/>
      </rPr>
      <t>c</t>
    </r>
  </si>
  <si>
    <r>
      <t>PM</t>
    </r>
    <r>
      <rPr>
        <vertAlign val="subscript"/>
        <sz val="9"/>
        <rFont val="Arial"/>
        <family val="2"/>
      </rPr>
      <t>c</t>
    </r>
  </si>
  <si>
    <r>
      <t>CO2</t>
    </r>
    <r>
      <rPr>
        <vertAlign val="subscript"/>
        <sz val="9"/>
        <rFont val="Arial"/>
        <family val="2"/>
      </rPr>
      <t>h</t>
    </r>
  </si>
  <si>
    <r>
      <t>CO</t>
    </r>
    <r>
      <rPr>
        <vertAlign val="subscript"/>
        <sz val="9"/>
        <rFont val="Arial"/>
        <family val="2"/>
      </rPr>
      <t>h</t>
    </r>
  </si>
  <si>
    <r>
      <t>PM</t>
    </r>
    <r>
      <rPr>
        <vertAlign val="subscript"/>
        <sz val="9"/>
        <rFont val="Arial"/>
        <family val="2"/>
      </rPr>
      <t>h</t>
    </r>
  </si>
  <si>
    <r>
      <t>CO2</t>
    </r>
    <r>
      <rPr>
        <vertAlign val="subscript"/>
        <sz val="9"/>
        <rFont val="Arial"/>
        <family val="2"/>
      </rPr>
      <t>s</t>
    </r>
  </si>
  <si>
    <r>
      <t>CO</t>
    </r>
    <r>
      <rPr>
        <vertAlign val="subscript"/>
        <sz val="9"/>
        <rFont val="Arial"/>
        <family val="2"/>
      </rPr>
      <t>s</t>
    </r>
  </si>
  <si>
    <r>
      <t>PM</t>
    </r>
    <r>
      <rPr>
        <vertAlign val="subscript"/>
        <sz val="9"/>
        <rFont val="Arial"/>
        <family val="2"/>
      </rPr>
      <t>s</t>
    </r>
  </si>
  <si>
    <t>Notes on the High Power - Hot Start Test</t>
  </si>
  <si>
    <t>Notes on the Low Power - Simmer Test</t>
  </si>
  <si>
    <t>Emission Report</t>
  </si>
  <si>
    <t>Total exhaust flow</t>
  </si>
  <si>
    <t>m3</t>
  </si>
  <si>
    <t>Total carbon in exhaust</t>
  </si>
  <si>
    <t>g/m3</t>
  </si>
  <si>
    <t xml:space="preserve">Mass emission factors </t>
  </si>
  <si>
    <t xml:space="preserve">   CO</t>
  </si>
  <si>
    <t xml:space="preserve">   PM</t>
  </si>
  <si>
    <t xml:space="preserve">   CO2</t>
  </si>
  <si>
    <t>Emission per water boiled</t>
  </si>
  <si>
    <t>Exhaust carbon concentration</t>
  </si>
  <si>
    <t xml:space="preserve">Fuel moisture content (wet basis) </t>
  </si>
  <si>
    <t>Fuel carbon content</t>
  </si>
  <si>
    <t>by mass</t>
  </si>
  <si>
    <t>Emission benchmarks:</t>
  </si>
  <si>
    <t xml:space="preserve">   CO to Complete 5L WBT</t>
  </si>
  <si>
    <t xml:space="preserve">   PM to Complete 5L WBT</t>
  </si>
  <si>
    <t>g/kgf</t>
  </si>
  <si>
    <t>Carbon Monoxide Benchmark Value</t>
  </si>
  <si>
    <t>Particulate Matter Benchmark Value</t>
  </si>
  <si>
    <t>Hood carbon balance</t>
  </si>
  <si>
    <t>Mass Frac C</t>
  </si>
  <si>
    <t>Average CO2 (ppm)</t>
  </si>
  <si>
    <t>Average CO (ppm)</t>
  </si>
  <si>
    <t>Average PM (ug/m3)</t>
  </si>
  <si>
    <t>Atmospheric P (kPa)</t>
  </si>
  <si>
    <t>Background CO2 (ppm)**</t>
  </si>
  <si>
    <t>Background CO (ppm)**</t>
  </si>
  <si>
    <t>Background PM (ug/m3)**</t>
  </si>
  <si>
    <t>** For emission testing only</t>
  </si>
  <si>
    <t>gray: efficiency</t>
  </si>
  <si>
    <t>High Power Thermal Efficiency</t>
  </si>
  <si>
    <t>Low Power Specific Fuel Consumption</t>
  </si>
  <si>
    <t>g/MJ</t>
  </si>
  <si>
    <t>g</t>
  </si>
  <si>
    <t>g</t>
  </si>
  <si>
    <t>%</t>
  </si>
  <si>
    <r>
      <t>g/(min</t>
    </r>
    <r>
      <rPr>
        <sz val="10"/>
        <rFont val="ＭＳ Ｐゴシック"/>
        <family val="3"/>
      </rPr>
      <t>∙</t>
    </r>
    <r>
      <rPr>
        <sz val="10"/>
        <rFont val="Arial"/>
        <family val="2"/>
      </rPr>
      <t>L)</t>
    </r>
  </si>
  <si>
    <t>mg/MJ</t>
  </si>
  <si>
    <r>
      <t>MJ/(min</t>
    </r>
    <r>
      <rPr>
        <sz val="10"/>
        <rFont val="ＭＳ Ｐゴシック"/>
        <family val="3"/>
      </rPr>
      <t>∙</t>
    </r>
    <r>
      <rPr>
        <sz val="10"/>
        <rFont val="Arial"/>
        <family val="2"/>
      </rPr>
      <t>L)</t>
    </r>
  </si>
  <si>
    <r>
      <t>mg/(min</t>
    </r>
    <r>
      <rPr>
        <sz val="10"/>
        <rFont val="ＭＳ Ｐゴシック"/>
        <family val="3"/>
      </rPr>
      <t>∙</t>
    </r>
    <r>
      <rPr>
        <sz val="10"/>
        <rFont val="Arial"/>
        <family val="2"/>
      </rPr>
      <t>L)</t>
    </r>
  </si>
  <si>
    <t>g/liter remaining</t>
  </si>
  <si>
    <t>g/liter boiled</t>
  </si>
  <si>
    <t>Tier 0</t>
  </si>
  <si>
    <t>Tier 1</t>
  </si>
  <si>
    <t>Tier 2</t>
  </si>
  <si>
    <t>Tier 3</t>
  </si>
  <si>
    <t>Tier 4</t>
  </si>
  <si>
    <t>High Power Thermal Efficiency</t>
  </si>
  <si>
    <t>Low Power Specific Consumption</t>
  </si>
  <si>
    <t>MJ/min/L</t>
  </si>
  <si>
    <t>High Power CO</t>
  </si>
  <si>
    <t>g/MJd</t>
  </si>
  <si>
    <t>Low Power CO</t>
  </si>
  <si>
    <t>g/min/L</t>
  </si>
  <si>
    <t>High Power PM</t>
  </si>
  <si>
    <t>mg/MJd</t>
  </si>
  <si>
    <t>Low Power PM</t>
  </si>
  <si>
    <t>mg/min/L</t>
  </si>
  <si>
    <t>Indoor Emissions CO</t>
  </si>
  <si>
    <t>Indoor Emissions PM</t>
  </si>
  <si>
    <t>mg/min</t>
  </si>
  <si>
    <t>Safety</t>
  </si>
  <si>
    <t>Tier</t>
  </si>
  <si>
    <t xml:space="preserve">   IWA PERFORMANCE METRICS</t>
  </si>
  <si>
    <t xml:space="preserve">   IWA PERFORMANCE TIERS</t>
  </si>
  <si>
    <r>
      <t>MJ/(min</t>
    </r>
    <r>
      <rPr>
        <sz val="9"/>
        <rFont val="ＭＳ Ｐゴシック"/>
        <family val="3"/>
      </rPr>
      <t>∙</t>
    </r>
    <r>
      <rPr>
        <sz val="9"/>
        <rFont val="Arial"/>
        <family val="2"/>
      </rPr>
      <t>L)</t>
    </r>
  </si>
  <si>
    <r>
      <t>g/(min</t>
    </r>
    <r>
      <rPr>
        <sz val="9"/>
        <rFont val="ＭＳ Ｐゴシック"/>
        <family val="3"/>
      </rPr>
      <t>∙</t>
    </r>
    <r>
      <rPr>
        <sz val="9"/>
        <rFont val="Arial"/>
        <family val="2"/>
      </rPr>
      <t>L)</t>
    </r>
  </si>
  <si>
    <r>
      <t>mg/(min</t>
    </r>
    <r>
      <rPr>
        <sz val="9"/>
        <rFont val="ＭＳ Ｐゴシック"/>
        <family val="3"/>
      </rPr>
      <t>∙</t>
    </r>
    <r>
      <rPr>
        <sz val="9"/>
        <rFont val="Arial"/>
        <family val="2"/>
      </rPr>
      <t>L)</t>
    </r>
  </si>
  <si>
    <t>Weight of Fuel</t>
  </si>
  <si>
    <t>Weight of fuel</t>
  </si>
  <si>
    <t>Fuel consumed (moist)</t>
  </si>
  <si>
    <t>Equivalent dry fuel consumed</t>
  </si>
  <si>
    <t>Fuel consumed during the simmer phase (moist)</t>
  </si>
  <si>
    <t>Fuel consumed est. (dry)</t>
  </si>
  <si>
    <t>Indoor PM Emissions</t>
  </si>
  <si>
    <t>Indoor CO Emissions</t>
  </si>
  <si>
    <t>≤</t>
  </si>
  <si>
    <t>&gt;</t>
  </si>
  <si>
    <t>&lt;</t>
  </si>
  <si>
    <t>≥</t>
  </si>
  <si>
    <r>
      <t>V</t>
    </r>
    <r>
      <rPr>
        <vertAlign val="subscript"/>
        <sz val="11"/>
        <rFont val="Calibri"/>
        <family val="2"/>
      </rPr>
      <t>c</t>
    </r>
  </si>
  <si>
    <r>
      <t>V</t>
    </r>
    <r>
      <rPr>
        <vertAlign val="subscript"/>
        <sz val="11"/>
        <rFont val="Calibri"/>
        <family val="2"/>
      </rPr>
      <t>h</t>
    </r>
  </si>
  <si>
    <r>
      <t>V</t>
    </r>
    <r>
      <rPr>
        <vertAlign val="subscript"/>
        <sz val="11"/>
        <rFont val="Calibri"/>
        <family val="2"/>
      </rPr>
      <t>s</t>
    </r>
  </si>
  <si>
    <r>
      <t>CC</t>
    </r>
    <r>
      <rPr>
        <vertAlign val="subscript"/>
        <sz val="11"/>
        <rFont val="Calibri"/>
        <family val="2"/>
      </rPr>
      <t>c</t>
    </r>
  </si>
  <si>
    <r>
      <t>CC</t>
    </r>
    <r>
      <rPr>
        <vertAlign val="subscript"/>
        <sz val="11"/>
        <rFont val="Calibri"/>
        <family val="2"/>
      </rPr>
      <t>h</t>
    </r>
  </si>
  <si>
    <r>
      <t>CC</t>
    </r>
    <r>
      <rPr>
        <vertAlign val="subscript"/>
        <sz val="11"/>
        <rFont val="Calibri"/>
        <family val="2"/>
      </rPr>
      <t>s</t>
    </r>
  </si>
  <si>
    <r>
      <t>C</t>
    </r>
    <r>
      <rPr>
        <vertAlign val="subscript"/>
        <sz val="11"/>
        <rFont val="Calibri"/>
        <family val="2"/>
      </rPr>
      <t>c</t>
    </r>
  </si>
  <si>
    <r>
      <t>C</t>
    </r>
    <r>
      <rPr>
        <vertAlign val="subscript"/>
        <sz val="11"/>
        <rFont val="Calibri"/>
        <family val="2"/>
      </rPr>
      <t>h</t>
    </r>
  </si>
  <si>
    <r>
      <t>C</t>
    </r>
    <r>
      <rPr>
        <vertAlign val="subscript"/>
        <sz val="11"/>
        <rFont val="Calibri"/>
        <family val="2"/>
      </rPr>
      <t>s</t>
    </r>
  </si>
  <si>
    <r>
      <t>f</t>
    </r>
    <r>
      <rPr>
        <vertAlign val="subscript"/>
        <sz val="11"/>
        <rFont val="Calibri"/>
        <family val="2"/>
      </rPr>
      <t>ce</t>
    </r>
  </si>
  <si>
    <r>
      <t>f</t>
    </r>
    <r>
      <rPr>
        <vertAlign val="subscript"/>
        <sz val="11"/>
        <rFont val="Calibri"/>
        <family val="2"/>
      </rPr>
      <t>he</t>
    </r>
  </si>
  <si>
    <r>
      <t>f</t>
    </r>
    <r>
      <rPr>
        <vertAlign val="subscript"/>
        <sz val="11"/>
        <rFont val="Calibri"/>
        <family val="2"/>
      </rPr>
      <t>se</t>
    </r>
  </si>
  <si>
    <r>
      <t>CB</t>
    </r>
    <r>
      <rPr>
        <vertAlign val="subscript"/>
        <sz val="11"/>
        <rFont val="Calibri"/>
        <family val="2"/>
      </rPr>
      <t>c</t>
    </r>
  </si>
  <si>
    <r>
      <t>CB</t>
    </r>
    <r>
      <rPr>
        <vertAlign val="subscript"/>
        <sz val="11"/>
        <rFont val="Calibri"/>
        <family val="2"/>
      </rPr>
      <t>h</t>
    </r>
  </si>
  <si>
    <r>
      <t>CB</t>
    </r>
    <r>
      <rPr>
        <vertAlign val="subscript"/>
        <sz val="11"/>
        <rFont val="Calibri"/>
        <family val="2"/>
      </rPr>
      <t>s</t>
    </r>
  </si>
  <si>
    <r>
      <t>EF</t>
    </r>
    <r>
      <rPr>
        <vertAlign val="subscript"/>
        <sz val="11"/>
        <rFont val="Calibri"/>
        <family val="2"/>
      </rPr>
      <t>CO,c</t>
    </r>
  </si>
  <si>
    <r>
      <t>EF</t>
    </r>
    <r>
      <rPr>
        <vertAlign val="subscript"/>
        <sz val="11"/>
        <rFont val="Calibri"/>
        <family val="2"/>
      </rPr>
      <t>CO,h</t>
    </r>
  </si>
  <si>
    <r>
      <t>EF</t>
    </r>
    <r>
      <rPr>
        <vertAlign val="subscript"/>
        <sz val="11"/>
        <rFont val="Calibri"/>
        <family val="2"/>
      </rPr>
      <t>CO,s</t>
    </r>
  </si>
  <si>
    <r>
      <t>EF</t>
    </r>
    <r>
      <rPr>
        <vertAlign val="subscript"/>
        <sz val="11"/>
        <rFont val="Calibri"/>
        <family val="2"/>
      </rPr>
      <t>CO2,c</t>
    </r>
  </si>
  <si>
    <r>
      <t>EF</t>
    </r>
    <r>
      <rPr>
        <vertAlign val="subscript"/>
        <sz val="11"/>
        <rFont val="Calibri"/>
        <family val="2"/>
      </rPr>
      <t>CO2,h</t>
    </r>
  </si>
  <si>
    <r>
      <t>EF</t>
    </r>
    <r>
      <rPr>
        <vertAlign val="subscript"/>
        <sz val="11"/>
        <rFont val="Calibri"/>
        <family val="2"/>
      </rPr>
      <t>CO2,s</t>
    </r>
  </si>
  <si>
    <r>
      <t>EF</t>
    </r>
    <r>
      <rPr>
        <vertAlign val="subscript"/>
        <sz val="11"/>
        <rFont val="Calibri"/>
        <family val="2"/>
      </rPr>
      <t>PM,c</t>
    </r>
  </si>
  <si>
    <r>
      <t>EF</t>
    </r>
    <r>
      <rPr>
        <vertAlign val="subscript"/>
        <sz val="11"/>
        <rFont val="Calibri"/>
        <family val="2"/>
      </rPr>
      <t>PM,h</t>
    </r>
  </si>
  <si>
    <r>
      <t>EF</t>
    </r>
    <r>
      <rPr>
        <vertAlign val="subscript"/>
        <sz val="11"/>
        <rFont val="Calibri"/>
        <family val="2"/>
      </rPr>
      <t>PM,s</t>
    </r>
  </si>
  <si>
    <r>
      <t>m</t>
    </r>
    <r>
      <rPr>
        <vertAlign val="subscript"/>
        <sz val="11"/>
        <rFont val="Calibri"/>
        <family val="2"/>
      </rPr>
      <t>PM,c</t>
    </r>
  </si>
  <si>
    <r>
      <t>m</t>
    </r>
    <r>
      <rPr>
        <vertAlign val="subscript"/>
        <sz val="11"/>
        <rFont val="Calibri"/>
        <family val="2"/>
      </rPr>
      <t>PM,h</t>
    </r>
  </si>
  <si>
    <r>
      <t>m</t>
    </r>
    <r>
      <rPr>
        <vertAlign val="subscript"/>
        <sz val="11"/>
        <rFont val="Calibri"/>
        <family val="2"/>
      </rPr>
      <t>PM,s</t>
    </r>
  </si>
  <si>
    <r>
      <t>m</t>
    </r>
    <r>
      <rPr>
        <vertAlign val="subscript"/>
        <sz val="11"/>
        <rFont val="Calibri"/>
        <family val="2"/>
      </rPr>
      <t>CO,c</t>
    </r>
  </si>
  <si>
    <r>
      <t>m</t>
    </r>
    <r>
      <rPr>
        <vertAlign val="subscript"/>
        <sz val="11"/>
        <rFont val="Calibri"/>
        <family val="2"/>
      </rPr>
      <t>CO,h</t>
    </r>
  </si>
  <si>
    <r>
      <t>m</t>
    </r>
    <r>
      <rPr>
        <vertAlign val="subscript"/>
        <sz val="11"/>
        <rFont val="Calibri"/>
        <family val="2"/>
      </rPr>
      <t>CO,s</t>
    </r>
  </si>
  <si>
    <r>
      <t>m</t>
    </r>
    <r>
      <rPr>
        <vertAlign val="subscript"/>
        <sz val="11"/>
        <rFont val="Calibri"/>
        <family val="2"/>
      </rPr>
      <t>CO2,c</t>
    </r>
  </si>
  <si>
    <r>
      <t>m</t>
    </r>
    <r>
      <rPr>
        <vertAlign val="subscript"/>
        <sz val="11"/>
        <rFont val="Calibri"/>
        <family val="2"/>
      </rPr>
      <t>CO2,h</t>
    </r>
  </si>
  <si>
    <r>
      <t>m</t>
    </r>
    <r>
      <rPr>
        <vertAlign val="subscript"/>
        <sz val="11"/>
        <rFont val="Calibri"/>
        <family val="2"/>
      </rPr>
      <t>CO2,s</t>
    </r>
  </si>
  <si>
    <t>BCO</t>
  </si>
  <si>
    <t>BPM</t>
  </si>
  <si>
    <r>
      <t>E</t>
    </r>
    <r>
      <rPr>
        <vertAlign val="subscript"/>
        <sz val="11"/>
        <rFont val="Calibri"/>
        <family val="2"/>
      </rPr>
      <t>CO2,c</t>
    </r>
  </si>
  <si>
    <r>
      <t>E</t>
    </r>
    <r>
      <rPr>
        <vertAlign val="subscript"/>
        <sz val="11"/>
        <rFont val="Calibri"/>
        <family val="2"/>
      </rPr>
      <t>CO2,h</t>
    </r>
  </si>
  <si>
    <r>
      <t>E</t>
    </r>
    <r>
      <rPr>
        <vertAlign val="subscript"/>
        <sz val="11"/>
        <rFont val="Calibri"/>
        <family val="2"/>
      </rPr>
      <t>CO2,s</t>
    </r>
  </si>
  <si>
    <r>
      <t>E</t>
    </r>
    <r>
      <rPr>
        <vertAlign val="subscript"/>
        <sz val="11"/>
        <rFont val="Calibri"/>
        <family val="2"/>
      </rPr>
      <t>CO,c</t>
    </r>
  </si>
  <si>
    <r>
      <t>E</t>
    </r>
    <r>
      <rPr>
        <vertAlign val="subscript"/>
        <sz val="11"/>
        <rFont val="Calibri"/>
        <family val="2"/>
      </rPr>
      <t>CO,h</t>
    </r>
  </si>
  <si>
    <r>
      <t>E</t>
    </r>
    <r>
      <rPr>
        <vertAlign val="subscript"/>
        <sz val="11"/>
        <rFont val="Calibri"/>
        <family val="2"/>
      </rPr>
      <t>CO,s</t>
    </r>
  </si>
  <si>
    <r>
      <t>E</t>
    </r>
    <r>
      <rPr>
        <vertAlign val="subscript"/>
        <sz val="11"/>
        <rFont val="Calibri"/>
        <family val="2"/>
      </rPr>
      <t>PM,c</t>
    </r>
  </si>
  <si>
    <r>
      <t>E</t>
    </r>
    <r>
      <rPr>
        <vertAlign val="subscript"/>
        <sz val="11"/>
        <rFont val="Calibri"/>
        <family val="2"/>
      </rPr>
      <t>PM,h</t>
    </r>
  </si>
  <si>
    <r>
      <t>E</t>
    </r>
    <r>
      <rPr>
        <vertAlign val="subscript"/>
        <sz val="11"/>
        <rFont val="Calibri"/>
        <family val="2"/>
      </rPr>
      <t>PM,s</t>
    </r>
  </si>
  <si>
    <t>EHV</t>
  </si>
  <si>
    <t>MC</t>
  </si>
  <si>
    <t>IWA VITA WBT Tiers</t>
  </si>
  <si>
    <t>Johnsons</t>
  </si>
  <si>
    <t>Char carbon content</t>
  </si>
  <si>
    <t>Schmer et al, 2007</t>
  </si>
  <si>
    <t>year</t>
  </si>
  <si>
    <t>source_link</t>
  </si>
  <si>
    <t>stove_description</t>
  </si>
  <si>
    <t>Cold start thermal efficiency</t>
  </si>
  <si>
    <t>Hot start thermal efficiency</t>
  </si>
  <si>
    <t>MJ/SA/day</t>
  </si>
  <si>
    <t>fuel description</t>
  </si>
  <si>
    <t>Lab</t>
  </si>
  <si>
    <t>NA = Not Applicable; IWA Performance Tiers are not reported if there are fewer than 3 tests conducted.</t>
  </si>
  <si>
    <t>Average Duct Temperature</t>
  </si>
  <si>
    <r>
      <t>T</t>
    </r>
    <r>
      <rPr>
        <vertAlign val="subscript"/>
        <sz val="9"/>
        <rFont val="Arial"/>
        <family val="2"/>
      </rPr>
      <t>cd</t>
    </r>
  </si>
  <si>
    <r>
      <t>T</t>
    </r>
    <r>
      <rPr>
        <vertAlign val="subscript"/>
        <sz val="9"/>
        <rFont val="Arial"/>
        <family val="2"/>
      </rPr>
      <t>hd</t>
    </r>
  </si>
  <si>
    <r>
      <t>T</t>
    </r>
    <r>
      <rPr>
        <vertAlign val="subscript"/>
        <sz val="9"/>
        <rFont val="Arial"/>
        <family val="2"/>
      </rPr>
      <t>sd</t>
    </r>
  </si>
  <si>
    <t>Total Emissions (carbon balance)</t>
  </si>
  <si>
    <t>Total Emissions (total capture)</t>
  </si>
  <si>
    <t>emissions calculations</t>
  </si>
  <si>
    <t>Carbon Balance</t>
  </si>
  <si>
    <t>Total Capture</t>
  </si>
  <si>
    <t xml:space="preserve">IWA PERFORMANCE METRICS </t>
  </si>
  <si>
    <t>pink: error, missing input</t>
  </si>
  <si>
    <t>Total CO2 (if available)</t>
  </si>
  <si>
    <t>Total CO   (if available)</t>
  </si>
  <si>
    <t>Total PM   (if available)</t>
  </si>
  <si>
    <t>Custom: Entered Above</t>
  </si>
  <si>
    <t>Low Power Specific Fuel Consumption</t>
  </si>
  <si>
    <t>MJ/(min∙L)</t>
  </si>
  <si>
    <t>g/MJ</t>
  </si>
  <si>
    <t>g/(min∙L)</t>
  </si>
  <si>
    <t>mg/MJ</t>
  </si>
  <si>
    <t>mg/(min∙L)</t>
  </si>
  <si>
    <t>SIMMER TEST (CALCULATIONS DIFFER FROM HIGH POWER TEST)</t>
  </si>
  <si>
    <t>4.2.3</t>
  </si>
  <si>
    <t>Emissions Calculation Method:</t>
  </si>
  <si>
    <t>Emissions Calculation Method:</t>
  </si>
  <si>
    <r>
      <t>m</t>
    </r>
    <r>
      <rPr>
        <vertAlign val="subscript"/>
        <sz val="10"/>
        <rFont val="Calibri"/>
        <family val="2"/>
      </rPr>
      <t>CO2,h</t>
    </r>
  </si>
  <si>
    <t>blue: emissions</t>
  </si>
  <si>
    <r>
      <t>A</t>
    </r>
    <r>
      <rPr>
        <sz val="12"/>
        <rFont val="Arial"/>
        <family val="2"/>
      </rPr>
      <t>verage Duct Temperature</t>
    </r>
  </si>
  <si>
    <r>
      <t>Δc</t>
    </r>
    <r>
      <rPr>
        <vertAlign val="subscript"/>
        <sz val="9"/>
        <rFont val="Arial"/>
        <family val="2"/>
      </rPr>
      <t>c</t>
    </r>
  </si>
  <si>
    <r>
      <t>EF</t>
    </r>
    <r>
      <rPr>
        <vertAlign val="subscript"/>
        <sz val="11"/>
        <rFont val="Calibri"/>
        <family val="2"/>
      </rPr>
      <t>CO2,c</t>
    </r>
  </si>
  <si>
    <t>IWA Tiers of Performance Report</t>
  </si>
  <si>
    <t>Testing Center</t>
  </si>
  <si>
    <t>Test Protocol</t>
  </si>
  <si>
    <t>Fuel Used</t>
  </si>
  <si>
    <t>Pot Used</t>
  </si>
  <si>
    <t>Test Dates</t>
  </si>
  <si>
    <t>Metric</t>
  </si>
  <si>
    <t>Value</t>
  </si>
  <si>
    <t>Unit</t>
  </si>
  <si>
    <t>Sub-Tier</t>
  </si>
  <si>
    <t>Efficiency / Fuel Use</t>
  </si>
  <si>
    <t>High power Thermal Efficiency</t>
  </si>
  <si>
    <t>Low power Specific Consumption</t>
  </si>
  <si>
    <t>MJ/min/l</t>
  </si>
  <si>
    <t>Emissions</t>
  </si>
  <si>
    <t>High power CO</t>
  </si>
  <si>
    <t>Low power CO</t>
  </si>
  <si>
    <t>g/min/l</t>
  </si>
  <si>
    <t>High power PM 2.5</t>
  </si>
  <si>
    <t>Low power PM 2.5</t>
  </si>
  <si>
    <t>mg/min/l</t>
  </si>
  <si>
    <t>Indoor Emissions</t>
  </si>
  <si>
    <t>High power Indoor emissions CO</t>
  </si>
  <si>
    <t>Low power Indoor emissions CO</t>
  </si>
  <si>
    <t>High power Indoor emissions PM 2.5</t>
  </si>
  <si>
    <t>Mg/min</t>
  </si>
  <si>
    <t>Low power Indoor emissions PM 2.5</t>
  </si>
  <si>
    <t>Stove Manufacturer</t>
  </si>
  <si>
    <t>Stove Model</t>
  </si>
  <si>
    <t>This data and additional supporting data are shared publically through the Clean Cooking Catalog.</t>
  </si>
  <si>
    <r>
      <t>g/MJ</t>
    </r>
    <r>
      <rPr>
        <vertAlign val="subscript"/>
        <sz val="9"/>
        <rFont val="Arial"/>
        <family val="2"/>
      </rPr>
      <t>d</t>
    </r>
  </si>
  <si>
    <t>Points</t>
  </si>
  <si>
    <r>
      <t xml:space="preserve">Tier 0  </t>
    </r>
    <r>
      <rPr>
        <b/>
        <sz val="11"/>
        <color indexed="8"/>
        <rFont val="Wingdings"/>
        <family val="0"/>
      </rPr>
      <t>à</t>
    </r>
    <r>
      <rPr>
        <b/>
        <sz val="11"/>
        <color indexed="8"/>
        <rFont val="Arial"/>
        <family val="2"/>
      </rPr>
      <t xml:space="preserve">  Improving Importance  </t>
    </r>
    <r>
      <rPr>
        <b/>
        <sz val="11"/>
        <color indexed="8"/>
        <rFont val="Wingdings"/>
        <family val="0"/>
      </rPr>
      <t>à</t>
    </r>
    <r>
      <rPr>
        <b/>
        <sz val="11"/>
        <color indexed="8"/>
        <rFont val="Arial"/>
        <family val="2"/>
      </rPr>
      <t xml:space="preserve">  Tier 4</t>
    </r>
  </si>
  <si>
    <r>
      <t>These results were obtained in accordance with the IWA and the Global Alliance for Clean Cookstoves’ reporting requirements</t>
    </r>
    <r>
      <rPr>
        <vertAlign val="superscript"/>
        <sz val="8"/>
        <rFont val="Arial"/>
        <family val="2"/>
      </rPr>
      <t>1</t>
    </r>
    <r>
      <rPr>
        <sz val="8"/>
        <rFont val="Arial"/>
        <family val="2"/>
      </rPr>
      <t xml:space="preserve">. </t>
    </r>
  </si>
  <si>
    <t>http://www.cleancookstoves.org/our-work/standards-and-testing/guidelines-and-standards/guidelines--standards-documents/interim-stove-performance.pdf</t>
  </si>
  <si>
    <r>
      <rPr>
        <vertAlign val="superscript"/>
        <sz val="8"/>
        <rFont val="Arial"/>
        <family val="2"/>
      </rPr>
      <t xml:space="preserve">1 </t>
    </r>
    <r>
      <rPr>
        <sz val="8"/>
        <rFont val="Arial"/>
        <family val="2"/>
      </rPr>
      <t>Interim Stove Performance Reporting Requirements:</t>
    </r>
  </si>
  <si>
    <t>10 weighted safety parameters</t>
  </si>
  <si>
    <t>Test 4</t>
  </si>
  <si>
    <t>Test 5</t>
  </si>
  <si>
    <t>Test 6</t>
  </si>
  <si>
    <t>Test 7</t>
  </si>
  <si>
    <t>Test 8</t>
  </si>
  <si>
    <t>Test 9</t>
  </si>
  <si>
    <t>Test 10</t>
  </si>
  <si>
    <t>Description of Pot(s)</t>
  </si>
  <si>
    <t>Individual Scores for Safety Assessment Criteria</t>
  </si>
  <si>
    <t>Assessment Criteria</t>
  </si>
  <si>
    <t>Multiplier</t>
  </si>
  <si>
    <t>Total</t>
  </si>
  <si>
    <t>Sharp Edges and Points</t>
  </si>
  <si>
    <t>Cookstove Tipping</t>
  </si>
  <si>
    <t>Containment of Fuel</t>
  </si>
  <si>
    <t>Obstructions Near Cooking Surface</t>
  </si>
  <si>
    <t>Surface Temperature</t>
  </si>
  <si>
    <t>Heat Transmission to Surroundings</t>
  </si>
  <si>
    <t>Temperature of Operational Construction</t>
  </si>
  <si>
    <t>Chimney Shielding</t>
  </si>
  <si>
    <t>Flames Surrounding the Cookpot</t>
  </si>
  <si>
    <t xml:space="preserve">Flames/Fuel Exiting Fuel Chamber, Canister, or Pipes </t>
  </si>
  <si>
    <t>Score 1-4</t>
  </si>
  <si>
    <t>Stove Rating</t>
  </si>
  <si>
    <t>Stove Safety IWA Tier</t>
  </si>
  <si>
    <t>Subtotal</t>
  </si>
  <si>
    <t>Water Boiling Test - Version 4.2.3</t>
  </si>
  <si>
    <t>Test-4</t>
  </si>
  <si>
    <t>Test-5</t>
  </si>
  <si>
    <t>Test-6</t>
  </si>
  <si>
    <t>Test-7</t>
  </si>
  <si>
    <t>Test-8</t>
  </si>
  <si>
    <t>Test-9</t>
  </si>
  <si>
    <t>Test-10</t>
  </si>
  <si>
    <t>Altitude (m)</t>
  </si>
  <si>
    <t>Test Year</t>
  </si>
  <si>
    <t>Replicate Test Number</t>
  </si>
  <si>
    <t>Do not edit this tab.â€¨â€¨This tab is for internal use by the Clean Cooking Catalog, and will be automatically filled as you enter data throughout the spreadsheet. It should not be edited directly. Contact catalog@cleancookstoves.org with any questions.</t>
  </si>
  <si>
    <t>metric_name</t>
  </si>
  <si>
    <t>sd</t>
  </si>
  <si>
    <t>id</t>
  </si>
  <si>
    <t>IWA high power CO</t>
  </si>
  <si>
    <t>g/MJ-del</t>
  </si>
  <si>
    <t>fuel_description</t>
  </si>
  <si>
    <t>IWA high power PM</t>
  </si>
  <si>
    <t>mg/MJ-del</t>
  </si>
  <si>
    <t>fuel_net_calorific_value</t>
  </si>
  <si>
    <t>IWA low power CO</t>
  </si>
  <si>
    <t>IWA low power PM</t>
  </si>
  <si>
    <t>test_details</t>
  </si>
  <si>
    <t>field_vs_lab</t>
  </si>
  <si>
    <t>number_of_tests</t>
  </si>
  <si>
    <t>IWA high power thermal efficiency</t>
  </si>
  <si>
    <t>altitude</t>
  </si>
  <si>
    <t>IWA low power specific consumption</t>
  </si>
  <si>
    <t>IWA CO</t>
  </si>
  <si>
    <t>IWA PM</t>
  </si>
  <si>
    <t>Specific energy consumption</t>
  </si>
  <si>
    <t>kJ/task</t>
  </si>
  <si>
    <t>Fuel consumed</t>
  </si>
  <si>
    <t>g/task</t>
  </si>
  <si>
    <t>Heating stove thermal efficiency</t>
  </si>
  <si>
    <t>Heating stove PM2.5</t>
  </si>
  <si>
    <t>mg/MJ delivered</t>
  </si>
  <si>
    <t>Heating stove CO</t>
  </si>
  <si>
    <t>g/MJ delivered</t>
  </si>
  <si>
    <t>Cold start firepower</t>
  </si>
  <si>
    <t>W</t>
  </si>
  <si>
    <t>Hot start firepower</t>
  </si>
  <si>
    <t>Simmer firepower</t>
  </si>
  <si>
    <t>Mean time to boil</t>
  </si>
  <si>
    <t>EF BC</t>
  </si>
  <si>
    <t>g/kg</t>
  </si>
  <si>
    <t>EF PM2.5</t>
  </si>
  <si>
    <t>EF CO</t>
  </si>
  <si>
    <t>g/kg fuel</t>
  </si>
  <si>
    <t>EF CH4</t>
  </si>
  <si>
    <t>ER PM2.5</t>
  </si>
  <si>
    <t>ER CO</t>
  </si>
  <si>
    <t>Specific consumption (fuel)</t>
  </si>
  <si>
    <t>g fuel/kg food</t>
  </si>
  <si>
    <t>Specific consumption (energy)</t>
  </si>
  <si>
    <t>MJ/kg food</t>
  </si>
  <si>
    <t>Specific consumption savings from baseline</t>
  </si>
  <si>
    <t>Time to cook food</t>
  </si>
  <si>
    <t>KPT wood used</t>
  </si>
  <si>
    <t>kg/SA/day</t>
  </si>
  <si>
    <t>KPT energy used</t>
  </si>
  <si>
    <t>KPT energy savings from baseline</t>
  </si>
  <si>
    <t>% MJ per SA</t>
  </si>
  <si>
    <t>Sharp edges and points tier</t>
  </si>
  <si>
    <t>Cookstove tipping tier</t>
  </si>
  <si>
    <t>Containment of fuel tier</t>
  </si>
  <si>
    <t>Obstructions near cooking surface tier</t>
  </si>
  <si>
    <t>Surface temperature tier</t>
  </si>
  <si>
    <t>Heat transmission to surroundings tier</t>
  </si>
  <si>
    <t>Temperature of operational construction tier</t>
  </si>
  <si>
    <t>Chimney shielding tier</t>
  </si>
  <si>
    <t>Flames surrounding cookpot tier</t>
  </si>
  <si>
    <t>Flames or fuel exiting chamber tier</t>
  </si>
  <si>
    <t>Total safety score</t>
  </si>
  <si>
    <t>points</t>
  </si>
  <si>
    <t>Energy use per capita wood</t>
  </si>
  <si>
    <t>MJ/person</t>
  </si>
  <si>
    <t>Energy use per capita other biomass</t>
  </si>
  <si>
    <t>Energy use per capita coal or charcoal</t>
  </si>
  <si>
    <t>Energy use per capita kerosene</t>
  </si>
  <si>
    <t>Energy use per capita LPG</t>
  </si>
  <si>
    <t>Day 1 energy use per capita</t>
  </si>
  <si>
    <t>Day 2 energy use per capita</t>
  </si>
  <si>
    <t>Day 3 energy use per capita</t>
  </si>
  <si>
    <t>Time to boil cold start</t>
  </si>
  <si>
    <t>Time to boil hot start</t>
  </si>
  <si>
    <t>Temp-corrected time to boil cold start</t>
  </si>
  <si>
    <t>Temp-corrected time to boil hot start</t>
  </si>
  <si>
    <t>Simmer thermal efficiency</t>
  </si>
  <si>
    <t>Specific fuel consumption cold start</t>
  </si>
  <si>
    <t>g/L</t>
  </si>
  <si>
    <t>Specific fuel consumption hot start</t>
  </si>
  <si>
    <t>Temp-corrected specific consumption cold start</t>
  </si>
  <si>
    <t>Temp-corrected specific consumption hot start</t>
  </si>
  <si>
    <t>Temp-corrected specific energy cons cold start</t>
  </si>
  <si>
    <t>kJ/L</t>
  </si>
  <si>
    <t>Temp-corrected specific energy cons hot start</t>
  </si>
  <si>
    <t>Burning rate hot start</t>
  </si>
  <si>
    <t>Burning rate cold start</t>
  </si>
  <si>
    <t>Burning rate simmer</t>
  </si>
  <si>
    <t xml:space="preserve">Water Boiling Test - General Information </t>
  </si>
  <si>
    <t>http://www.cleancookstoves.org/our-work/standards-and-testing/learn-about-testing-protocols/</t>
  </si>
  <si>
    <t>Please note this is a summary of the criteria evaluated by the Biomass Stove Safety Protocol. For the full protocol and data calculation sheet, visit:</t>
  </si>
  <si>
    <t>iwa_emissions_tier</t>
  </si>
  <si>
    <t>iwa_efficiency_tier</t>
  </si>
  <si>
    <t>iwa_indoor_tier</t>
  </si>
  <si>
    <t>iwa_safety_tier</t>
  </si>
  <si>
    <t>iwa_emission_high_power_CO_subtier</t>
  </si>
  <si>
    <t>iwa_emissions_high_power_PM_subtier</t>
  </si>
  <si>
    <t>iwa_emissions_low_power_CO_subtier</t>
  </si>
  <si>
    <t>iwa_emissions_low_power_PM_subtier</t>
  </si>
  <si>
    <t>iwa_high_power_thermal_efficiency_subtier</t>
  </si>
  <si>
    <t>iwa_low_power_specific_consumption_subtier</t>
  </si>
  <si>
    <t>iwa_indoor_high_power_CO_subtier</t>
  </si>
  <si>
    <t>iwa_indoor_high_power_PM_subtier</t>
  </si>
  <si>
    <t>iwa_indoor_low_power_CO_subtier</t>
  </si>
  <si>
    <t>iwa_indoor_low_power_PM_subtier</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</si>
</sst>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h:mm;@"/>
    <numFmt numFmtId="177" formatCode="0.0"/>
    <numFmt numFmtId="178" formatCode="m/d/yyyy;@"/>
    <numFmt numFmtId="179" formatCode="_(* #,##0.00_);_(* \(#,##0.00\);_(* \-??_);_(@_)"/>
    <numFmt numFmtId="180" formatCode="_(* #,##0_);_(* \(#,##0\);_(* \-??_);_(@_)"/>
    <numFmt numFmtId="181" formatCode="_(* #,##0.0_);_(* \(#,##0.0\);_(* \-??_);_(@_)"/>
    <numFmt numFmtId="182" formatCode="_(* #,##0.000_);_(* \(#,##0.000\);_(* \-??_);_(@_)"/>
    <numFmt numFmtId="183" formatCode="0.0%"/>
    <numFmt numFmtId="184" formatCode="_(* #,##0.00_);_(* \(#,##0.00\);_(* ??_);_(@_)"/>
    <numFmt numFmtId="185" formatCode="0.000"/>
    <numFmt numFmtId="186" formatCode="#,##0.0"/>
    <numFmt numFmtId="187" formatCode="_(* #,##0.0_);_(* \(#,##0.0\);_(* &quot;-&quot;?_);_(@_)"/>
    <numFmt numFmtId="188" formatCode="#,##0.0_);\(#,##0.0\)"/>
    <numFmt numFmtId="189" formatCode="[$-409]dddd\,\ mmmm\ dd\,\ yyyy"/>
    <numFmt numFmtId="190" formatCode="[$-409]h:mm:ss\ AM/PM"/>
    <numFmt numFmtId="191" formatCode="_(* #,##0.0000_);_(* \(#,##0.0000\);_(* \-??_);_(@_)"/>
    <numFmt numFmtId="192" formatCode="_-* #,##0.000_-;\-* #,##0.000_-;_-* &quot;-&quot;???_-;_-@_-"/>
  </numFmts>
  <fonts count="81">
    <font>
      <sz val="10"/>
      <name val="Arial"/>
      <family val="2"/>
    </font>
    <font>
      <sz val="9"/>
      <name val="Arial"/>
      <family val="2"/>
    </font>
    <font>
      <b/>
      <sz val="9"/>
      <name val="Arial"/>
      <family val="2"/>
    </font>
    <font>
      <sz val="8"/>
      <name val="Arial"/>
      <family val="2"/>
    </font>
    <font>
      <b/>
      <i/>
      <sz val="9"/>
      <name val="Arial"/>
      <family val="2"/>
    </font>
    <font>
      <vertAlign val="subscript"/>
      <sz val="9"/>
      <name val="Arial"/>
      <family val="2"/>
    </font>
    <font>
      <sz val="8"/>
      <color indexed="8"/>
      <name val="Times New Roman"/>
      <family val="1"/>
    </font>
    <font>
      <b/>
      <sz val="8"/>
      <color indexed="8"/>
      <name val="Times New Roman"/>
      <family val="1"/>
    </font>
    <font>
      <u val="single"/>
      <sz val="9"/>
      <name val="Arial"/>
      <family val="2"/>
    </font>
    <font>
      <vertAlign val="superscript"/>
      <sz val="9"/>
      <name val="Arial"/>
      <family val="2"/>
    </font>
    <font>
      <b/>
      <sz val="10"/>
      <name val="Arial"/>
      <family val="2"/>
    </font>
    <font>
      <b/>
      <u val="single"/>
      <sz val="10"/>
      <name val="Arial"/>
      <family val="2"/>
    </font>
    <font>
      <b/>
      <vertAlign val="superscript"/>
      <sz val="10"/>
      <name val="Arial"/>
      <family val="2"/>
    </font>
    <font>
      <vertAlign val="superscript"/>
      <sz val="10"/>
      <name val="Arial"/>
      <family val="2"/>
    </font>
    <font>
      <i/>
      <sz val="10"/>
      <name val="Arial"/>
      <family val="2"/>
    </font>
    <font>
      <sz val="12"/>
      <name val="Arial"/>
      <family val="2"/>
    </font>
    <font>
      <sz val="14"/>
      <name val="Arial"/>
      <family val="2"/>
    </font>
    <font>
      <b/>
      <sz val="14"/>
      <name val="Arial"/>
      <family val="2"/>
    </font>
    <font>
      <b/>
      <i/>
      <sz val="12"/>
      <name val="Arial"/>
      <family val="2"/>
    </font>
    <font>
      <i/>
      <sz val="12"/>
      <name val="Arial"/>
      <family val="2"/>
    </font>
    <font>
      <i/>
      <u val="single"/>
      <sz val="12"/>
      <name val="Arial"/>
      <family val="2"/>
    </font>
    <font>
      <u val="single"/>
      <sz val="12"/>
      <name val="Arial"/>
      <family val="2"/>
    </font>
    <font>
      <b/>
      <i/>
      <sz val="16"/>
      <name val="Arial"/>
      <family val="2"/>
    </font>
    <font>
      <b/>
      <i/>
      <sz val="10"/>
      <name val="Arial"/>
      <family val="2"/>
    </font>
    <font>
      <sz val="8"/>
      <name val="Tahoma"/>
      <family val="2"/>
    </font>
    <font>
      <b/>
      <sz val="8"/>
      <name val="Tahoma"/>
      <family val="2"/>
    </font>
    <font>
      <u val="single"/>
      <sz val="8"/>
      <color indexed="12"/>
      <name val="Arial"/>
      <family val="2"/>
    </font>
    <font>
      <u val="single"/>
      <sz val="8"/>
      <color indexed="36"/>
      <name val="Arial"/>
      <family val="2"/>
    </font>
    <font>
      <b/>
      <i/>
      <sz val="14"/>
      <name val="Arial"/>
      <family val="2"/>
    </font>
    <font>
      <i/>
      <sz val="9"/>
      <name val="Arial"/>
      <family val="2"/>
    </font>
    <font>
      <sz val="10"/>
      <name val="ＭＳ Ｐゴシック"/>
      <family val="3"/>
    </font>
    <font>
      <sz val="9"/>
      <name val="ＭＳ Ｐゴシック"/>
      <family val="3"/>
    </font>
    <font>
      <sz val="10"/>
      <name val="Calibri"/>
      <family val="2"/>
    </font>
    <font>
      <sz val="11"/>
      <name val="Calibri"/>
      <family val="2"/>
    </font>
    <font>
      <vertAlign val="subscript"/>
      <sz val="11"/>
      <name val="Calibri"/>
      <family val="2"/>
    </font>
    <font>
      <vertAlign val="subscript"/>
      <sz val="10"/>
      <name val="Calibri"/>
      <family val="2"/>
    </font>
    <font>
      <b/>
      <sz val="12"/>
      <name val="Arial"/>
      <family val="2"/>
    </font>
    <font>
      <b/>
      <sz val="16"/>
      <name val="Arial"/>
      <family val="2"/>
    </font>
    <font>
      <b/>
      <sz val="11"/>
      <color indexed="8"/>
      <name val="Wingdings"/>
      <family val="0"/>
    </font>
    <font>
      <b/>
      <sz val="11"/>
      <color indexed="8"/>
      <name val="Arial"/>
      <family val="2"/>
    </font>
    <font>
      <vertAlign val="superscript"/>
      <sz val="8"/>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b/>
      <sz val="9"/>
      <color indexed="8"/>
      <name val="Arial"/>
      <family val="2"/>
    </font>
    <font>
      <sz val="8"/>
      <name val="Segoe UI"/>
      <family val="2"/>
    </font>
    <font>
      <sz val="10"/>
      <color indexed="8"/>
      <name val="Arial"/>
      <family val="0"/>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9"/>
      <color theme="1"/>
      <name val="Arial"/>
      <family val="2"/>
    </font>
    <font>
      <b/>
      <sz val="11"/>
      <color theme="1"/>
      <name val="Arial"/>
      <family val="2"/>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
      <patternFill patternType="solid">
        <fgColor theme="5" tint="0.5999600291252136"/>
        <bgColor indexed="64"/>
      </patternFill>
    </fill>
    <fill>
      <patternFill patternType="solid">
        <fgColor theme="0" tint="-0.24993999302387238"/>
        <bgColor indexed="64"/>
      </patternFill>
    </fill>
    <fill>
      <patternFill patternType="solid">
        <fgColor rgb="FFE6B8B7"/>
        <bgColor indexed="64"/>
      </patternFill>
    </fill>
  </fills>
  <borders count="1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style="double">
        <color indexed="8"/>
      </right>
      <top>
        <color indexed="63"/>
      </top>
      <bottom>
        <color indexed="63"/>
      </bottom>
    </border>
    <border>
      <left style="double">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hair">
        <color indexed="8"/>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medium">
        <color indexed="8"/>
      </left>
      <right>
        <color indexed="63"/>
      </right>
      <top>
        <color indexed="63"/>
      </top>
      <bottom style="medium">
        <color indexed="8"/>
      </bottom>
    </border>
    <border>
      <left>
        <color indexed="63"/>
      </left>
      <right style="double">
        <color indexed="8"/>
      </right>
      <top>
        <color indexed="63"/>
      </top>
      <bottom style="medium">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dotted">
        <color indexed="8"/>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dotted"/>
      <bottom style="medium"/>
    </border>
    <border>
      <left style="thin"/>
      <right style="thin"/>
      <top style="thin"/>
      <bottom style="thin"/>
    </border>
    <border>
      <left>
        <color indexed="63"/>
      </left>
      <right style="thin"/>
      <top>
        <color indexed="63"/>
      </top>
      <bottom style="double">
        <color indexed="8"/>
      </bottom>
    </border>
    <border>
      <left>
        <color indexed="63"/>
      </left>
      <right style="medium">
        <color indexed="8"/>
      </right>
      <top>
        <color indexed="63"/>
      </top>
      <bottom style="double">
        <color indexed="8"/>
      </bottom>
    </border>
    <border>
      <left style="medium">
        <color indexed="8"/>
      </left>
      <right>
        <color indexed="63"/>
      </right>
      <top style="medium">
        <color indexed="8"/>
      </top>
      <bottom style="medium">
        <color indexed="8"/>
      </bottom>
    </border>
    <border>
      <left style="double">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n">
        <color indexed="8"/>
      </right>
      <top style="double">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double"/>
    </border>
    <border>
      <left>
        <color indexed="63"/>
      </left>
      <right style="thin">
        <color indexed="8"/>
      </right>
      <top style="thin">
        <color indexed="8"/>
      </top>
      <bottom>
        <color indexed="63"/>
      </bottom>
    </border>
    <border>
      <left style="medium"/>
      <right>
        <color indexed="63"/>
      </right>
      <top style="double"/>
      <bottom>
        <color indexed="63"/>
      </bottom>
    </border>
    <border>
      <left>
        <color indexed="63"/>
      </left>
      <right>
        <color indexed="63"/>
      </right>
      <top style="double"/>
      <bottom>
        <color indexed="63"/>
      </bottom>
    </border>
    <border>
      <left style="thin"/>
      <right style="double"/>
      <top style="double"/>
      <bottom>
        <color indexed="63"/>
      </bottom>
    </border>
    <border>
      <left style="medium"/>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color indexed="8"/>
      </left>
      <right>
        <color indexed="63"/>
      </right>
      <top>
        <color indexed="63"/>
      </top>
      <bottom style="thick">
        <color indexed="8"/>
      </bottom>
    </border>
    <border>
      <left>
        <color indexed="63"/>
      </left>
      <right style="medium">
        <color indexed="8"/>
      </right>
      <top>
        <color indexed="63"/>
      </top>
      <bottom style="thick">
        <color indexed="8"/>
      </bottom>
    </border>
    <border>
      <left>
        <color indexed="63"/>
      </left>
      <right style="medium">
        <color indexed="8"/>
      </right>
      <top style="thick">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8"/>
      </left>
      <right>
        <color indexed="63"/>
      </right>
      <top>
        <color indexed="63"/>
      </top>
      <bottom style="double">
        <color indexed="8"/>
      </bottom>
    </border>
    <border>
      <left>
        <color indexed="63"/>
      </left>
      <right style="medium">
        <color indexed="8"/>
      </right>
      <top style="double">
        <color indexed="8"/>
      </top>
      <bottom>
        <color indexed="63"/>
      </bottom>
    </border>
    <border>
      <left>
        <color indexed="63"/>
      </left>
      <right style="double"/>
      <top>
        <color indexed="63"/>
      </top>
      <bottom>
        <color indexed="63"/>
      </bottom>
    </border>
    <border>
      <left style="medium"/>
      <right>
        <color indexed="63"/>
      </right>
      <top style="thin"/>
      <bottom style="double"/>
    </border>
    <border>
      <left>
        <color indexed="63"/>
      </left>
      <right>
        <color indexed="63"/>
      </right>
      <top style="medium">
        <color indexed="8"/>
      </top>
      <bottom style="hair">
        <color indexed="8"/>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color indexed="8"/>
      </top>
      <bottom style="double">
        <color indexed="8"/>
      </bottom>
    </border>
    <border>
      <left>
        <color indexed="63"/>
      </left>
      <right>
        <color indexed="63"/>
      </right>
      <top style="hair">
        <color indexed="8"/>
      </top>
      <bottom style="hair"/>
    </border>
    <border>
      <left>
        <color indexed="63"/>
      </left>
      <right>
        <color indexed="63"/>
      </right>
      <top style="dotted">
        <color indexed="8"/>
      </top>
      <bottom>
        <color indexed="63"/>
      </bottom>
    </border>
    <border>
      <left style="thin"/>
      <right style="double"/>
      <top>
        <color indexed="63"/>
      </top>
      <bottom style="hair"/>
    </border>
    <border>
      <left style="thin"/>
      <right style="double"/>
      <top style="hair"/>
      <bottom style="hair"/>
    </border>
    <border>
      <left style="thin"/>
      <right style="double"/>
      <top>
        <color indexed="63"/>
      </top>
      <bottom style="double"/>
    </border>
    <border>
      <left style="medium"/>
      <right style="medium"/>
      <top>
        <color indexed="63"/>
      </top>
      <bottom>
        <color indexed="63"/>
      </bottom>
    </border>
    <border>
      <left style="thin"/>
      <right/>
      <top/>
      <bottom/>
    </border>
    <border>
      <left>
        <color indexed="63"/>
      </left>
      <right>
        <color indexed="63"/>
      </right>
      <top style="hair">
        <color indexed="8"/>
      </top>
      <bottom style="medium">
        <color indexed="8"/>
      </bottom>
    </border>
    <border>
      <left>
        <color indexed="63"/>
      </left>
      <right style="medium"/>
      <top>
        <color indexed="63"/>
      </top>
      <bottom style="medium">
        <color indexed="8"/>
      </bottom>
    </border>
    <border>
      <left style="thin"/>
      <right style="thin"/>
      <top style="medium"/>
      <bottom>
        <color indexed="63"/>
      </bottom>
    </border>
    <border>
      <left style="thin"/>
      <right style="medium"/>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color indexed="63"/>
      </top>
      <bottom style="medium"/>
    </border>
    <border>
      <left>
        <color indexed="63"/>
      </left>
      <right>
        <color indexed="63"/>
      </right>
      <top style="dotted">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color indexed="63"/>
      </top>
      <bottom style="thin"/>
    </border>
    <border>
      <left>
        <color indexed="63"/>
      </left>
      <right>
        <color indexed="63"/>
      </right>
      <top style="dotted"/>
      <bottom>
        <color indexed="63"/>
      </bottom>
    </border>
    <border>
      <left style="hair"/>
      <right style="hair"/>
      <top style="thin"/>
      <bottom style="thin"/>
    </border>
    <border>
      <left style="hair"/>
      <right style="hair"/>
      <top style="thin"/>
      <bottom style="medium"/>
    </border>
    <border>
      <left style="hair"/>
      <right style="hair"/>
      <top>
        <color indexed="63"/>
      </top>
      <bottom style="thin"/>
    </border>
    <border>
      <left style="hair"/>
      <right style="medium"/>
      <top>
        <color indexed="63"/>
      </top>
      <bottom style="thin"/>
    </border>
    <border>
      <left style="hair"/>
      <right style="hair"/>
      <top style="medium"/>
      <bottom style="medium"/>
    </border>
    <border>
      <left style="hair"/>
      <right style="medium"/>
      <top style="medium"/>
      <bottom style="medium"/>
    </border>
    <border>
      <left style="hair"/>
      <right style="medium"/>
      <top>
        <color indexed="63"/>
      </top>
      <bottom>
        <color indexed="63"/>
      </bottom>
    </border>
    <border>
      <left>
        <color indexed="63"/>
      </left>
      <right style="medium"/>
      <top style="thin"/>
      <bottom style="medium"/>
    </border>
    <border>
      <left style="thin"/>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medium"/>
      <top style="thin"/>
      <bottom>
        <color indexed="63"/>
      </bottom>
    </border>
    <border>
      <left style="thick"/>
      <right>
        <color indexed="63"/>
      </right>
      <top style="dotted"/>
      <bottom style="dotted"/>
    </border>
    <border>
      <left style="thick"/>
      <right>
        <color indexed="63"/>
      </right>
      <top>
        <color indexed="63"/>
      </top>
      <bottom style="dotted"/>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double">
        <color indexed="8"/>
      </left>
      <right style="double">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hair">
        <color indexed="8"/>
      </bottom>
    </border>
    <border>
      <left style="medium"/>
      <right>
        <color indexed="63"/>
      </right>
      <top style="thin"/>
      <bottom style="thin"/>
    </border>
    <border>
      <left>
        <color indexed="63"/>
      </left>
      <right style="hair"/>
      <top style="thin"/>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medium"/>
      <bottom style="medium"/>
    </border>
    <border>
      <left style="thin"/>
      <right/>
      <top style="thin"/>
      <bottom style="medium"/>
    </border>
    <border>
      <left>
        <color indexed="63"/>
      </left>
      <right style="thin"/>
      <top style="thin"/>
      <bottom style="medium"/>
    </border>
    <border>
      <left/>
      <right style="thin"/>
      <top style="thin"/>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9"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6" fillId="0" borderId="0" applyNumberFormat="0" applyFill="0" applyBorder="0" applyAlignment="0" applyProtection="0"/>
    <xf numFmtId="0" fontId="27"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6"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0" fillId="0" borderId="0">
      <alignment/>
      <protection/>
    </xf>
    <xf numFmtId="0" fontId="0" fillId="31" borderId="7" applyNumberFormat="0" applyFont="0" applyAlignment="0" applyProtection="0"/>
    <xf numFmtId="0" fontId="74" fillId="26" borderId="8" applyNumberFormat="0" applyAlignment="0" applyProtection="0"/>
    <xf numFmtId="9" fontId="0" fillId="0" borderId="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7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6" xfId="0" applyFont="1" applyBorder="1" applyAlignment="1">
      <alignment/>
    </xf>
    <xf numFmtId="0" fontId="1" fillId="0" borderId="13" xfId="0" applyFont="1" applyBorder="1" applyAlignment="1">
      <alignment horizontal="left"/>
    </xf>
    <xf numFmtId="0" fontId="2" fillId="0" borderId="0" xfId="0" applyFont="1" applyBorder="1" applyAlignment="1">
      <alignment horizontal="left"/>
    </xf>
    <xf numFmtId="0" fontId="1" fillId="0" borderId="16" xfId="0" applyFont="1" applyBorder="1" applyAlignment="1">
      <alignment horizontal="left"/>
    </xf>
    <xf numFmtId="0" fontId="2" fillId="0" borderId="17" xfId="0" applyFont="1" applyBorder="1" applyAlignment="1">
      <alignment horizontal="left" indent="1"/>
    </xf>
    <xf numFmtId="0" fontId="1" fillId="0" borderId="18" xfId="0" applyFont="1" applyBorder="1" applyAlignment="1">
      <alignment/>
    </xf>
    <xf numFmtId="0" fontId="1" fillId="0" borderId="19" xfId="0" applyFont="1" applyBorder="1" applyAlignment="1">
      <alignment/>
    </xf>
    <xf numFmtId="0" fontId="1" fillId="0" borderId="0" xfId="0" applyFont="1" applyBorder="1" applyAlignment="1">
      <alignment horizontal="center"/>
    </xf>
    <xf numFmtId="0" fontId="1" fillId="0" borderId="20" xfId="0" applyFont="1" applyBorder="1" applyAlignment="1">
      <alignment/>
    </xf>
    <xf numFmtId="0" fontId="1" fillId="0" borderId="19" xfId="0" applyFont="1" applyBorder="1" applyAlignment="1">
      <alignment horizontal="center"/>
    </xf>
    <xf numFmtId="0" fontId="1" fillId="0" borderId="1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1" fillId="0" borderId="17"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xf>
    <xf numFmtId="0" fontId="2" fillId="0" borderId="21" xfId="0" applyFont="1" applyBorder="1" applyAlignment="1">
      <alignment/>
    </xf>
    <xf numFmtId="0" fontId="2" fillId="0" borderId="23"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6" xfId="0" applyFont="1" applyBorder="1" applyAlignment="1">
      <alignment/>
    </xf>
    <xf numFmtId="0" fontId="1" fillId="0" borderId="25" xfId="0" applyFont="1" applyBorder="1" applyAlignment="1">
      <alignment/>
    </xf>
    <xf numFmtId="176" fontId="1" fillId="32" borderId="27" xfId="0" applyNumberFormat="1" applyFont="1" applyFill="1" applyBorder="1" applyAlignment="1" applyProtection="1">
      <alignment/>
      <protection locked="0"/>
    </xf>
    <xf numFmtId="0" fontId="1" fillId="0" borderId="0" xfId="0" applyFont="1" applyBorder="1" applyAlignment="1">
      <alignment horizontal="center" wrapText="1"/>
    </xf>
    <xf numFmtId="0" fontId="1" fillId="0" borderId="28" xfId="0" applyFont="1" applyBorder="1" applyAlignment="1">
      <alignment horizontal="center" wrapText="1"/>
    </xf>
    <xf numFmtId="0" fontId="1" fillId="0" borderId="19" xfId="0" applyFont="1" applyBorder="1" applyAlignment="1">
      <alignment horizontal="center" wrapText="1"/>
    </xf>
    <xf numFmtId="0" fontId="1" fillId="0" borderId="28" xfId="0" applyFont="1" applyBorder="1" applyAlignment="1">
      <alignment/>
    </xf>
    <xf numFmtId="0" fontId="1" fillId="32" borderId="27" xfId="0" applyFont="1" applyFill="1" applyBorder="1" applyAlignment="1" applyProtection="1">
      <alignment/>
      <protection locked="0"/>
    </xf>
    <xf numFmtId="177" fontId="1" fillId="32" borderId="27" xfId="0" applyNumberFormat="1" applyFont="1" applyFill="1" applyBorder="1" applyAlignment="1" applyProtection="1">
      <alignment/>
      <protection locked="0"/>
    </xf>
    <xf numFmtId="177" fontId="1" fillId="0" borderId="0" xfId="0" applyNumberFormat="1" applyFont="1" applyBorder="1" applyAlignment="1">
      <alignment horizontal="center" wrapText="1"/>
    </xf>
    <xf numFmtId="177" fontId="1" fillId="0" borderId="28" xfId="0" applyNumberFormat="1" applyFont="1" applyBorder="1" applyAlignment="1">
      <alignment horizontal="center" wrapText="1"/>
    </xf>
    <xf numFmtId="177" fontId="1" fillId="0" borderId="19" xfId="0" applyNumberFormat="1" applyFont="1" applyBorder="1" applyAlignment="1">
      <alignment horizontal="center" wrapText="1"/>
    </xf>
    <xf numFmtId="177" fontId="1" fillId="0" borderId="15" xfId="0" applyNumberFormat="1" applyFont="1" applyBorder="1" applyAlignment="1">
      <alignment/>
    </xf>
    <xf numFmtId="177" fontId="1" fillId="0" borderId="28" xfId="0" applyNumberFormat="1" applyFont="1" applyBorder="1" applyAlignment="1">
      <alignment/>
    </xf>
    <xf numFmtId="177" fontId="1" fillId="0" borderId="0" xfId="0" applyNumberFormat="1" applyFont="1" applyBorder="1" applyAlignment="1">
      <alignment/>
    </xf>
    <xf numFmtId="0" fontId="1" fillId="0" borderId="19" xfId="0" applyFont="1" applyBorder="1" applyAlignment="1">
      <alignment horizontal="left"/>
    </xf>
    <xf numFmtId="0" fontId="1" fillId="0" borderId="0" xfId="0" applyFont="1" applyFill="1" applyBorder="1" applyAlignment="1">
      <alignment horizontal="center" wrapText="1"/>
    </xf>
    <xf numFmtId="0" fontId="1" fillId="0" borderId="28" xfId="0" applyFont="1" applyFill="1" applyBorder="1" applyAlignment="1">
      <alignment/>
    </xf>
    <xf numFmtId="0" fontId="0" fillId="0" borderId="0" xfId="0" applyFill="1" applyAlignment="1">
      <alignment/>
    </xf>
    <xf numFmtId="0" fontId="1" fillId="0" borderId="19" xfId="0" applyFont="1" applyFill="1" applyBorder="1" applyAlignment="1">
      <alignment horizontal="center" wrapText="1"/>
    </xf>
    <xf numFmtId="0" fontId="1" fillId="0" borderId="0" xfId="0" applyFont="1" applyBorder="1" applyAlignment="1" applyProtection="1">
      <alignment horizontal="left"/>
      <protection locked="0"/>
    </xf>
    <xf numFmtId="0" fontId="1" fillId="0" borderId="0" xfId="0" applyFont="1" applyFill="1" applyBorder="1" applyAlignment="1">
      <alignment/>
    </xf>
    <xf numFmtId="0" fontId="2" fillId="0" borderId="25" xfId="0" applyFont="1" applyBorder="1" applyAlignment="1">
      <alignment/>
    </xf>
    <xf numFmtId="0" fontId="1" fillId="0" borderId="25" xfId="0" applyFont="1" applyBorder="1" applyAlignment="1">
      <alignment/>
    </xf>
    <xf numFmtId="0" fontId="1" fillId="0" borderId="25" xfId="0" applyFont="1" applyBorder="1" applyAlignment="1" applyProtection="1">
      <alignment horizontal="left"/>
      <protection locked="0"/>
    </xf>
    <xf numFmtId="9" fontId="1" fillId="0" borderId="25" xfId="0" applyNumberFormat="1" applyFont="1" applyBorder="1" applyAlignment="1" applyProtection="1">
      <alignment horizontal="left"/>
      <protection locked="0"/>
    </xf>
    <xf numFmtId="0" fontId="2" fillId="0" borderId="25" xfId="0" applyFont="1" applyBorder="1" applyAlignment="1" applyProtection="1">
      <alignment horizontal="center"/>
      <protection locked="0"/>
    </xf>
    <xf numFmtId="0" fontId="2" fillId="0" borderId="21" xfId="0" applyFont="1" applyBorder="1" applyAlignment="1">
      <alignment horizontal="left" wrapText="1"/>
    </xf>
    <xf numFmtId="0" fontId="2" fillId="0" borderId="21" xfId="0" applyFont="1" applyBorder="1" applyAlignment="1">
      <alignment wrapText="1"/>
    </xf>
    <xf numFmtId="0" fontId="2" fillId="0" borderId="21" xfId="0" applyFont="1" applyBorder="1" applyAlignment="1">
      <alignment horizontal="center" wrapText="1"/>
    </xf>
    <xf numFmtId="0" fontId="0" fillId="0" borderId="28" xfId="0" applyBorder="1" applyAlignment="1">
      <alignment/>
    </xf>
    <xf numFmtId="0" fontId="0" fillId="0" borderId="0" xfId="0" applyBorder="1" applyAlignment="1">
      <alignment/>
    </xf>
    <xf numFmtId="0" fontId="1" fillId="0" borderId="29" xfId="0" applyFont="1" applyFill="1" applyBorder="1" applyAlignment="1" applyProtection="1">
      <alignment/>
      <protection locked="0"/>
    </xf>
    <xf numFmtId="177" fontId="1" fillId="32" borderId="27" xfId="42" applyNumberFormat="1" applyFont="1" applyFill="1" applyBorder="1" applyAlignment="1" applyProtection="1">
      <alignment horizontal="right"/>
      <protection locked="0"/>
    </xf>
    <xf numFmtId="0" fontId="1" fillId="0" borderId="0" xfId="0" applyFont="1" applyBorder="1" applyAlignment="1">
      <alignment horizontal="left"/>
    </xf>
    <xf numFmtId="0" fontId="1" fillId="0" borderId="30" xfId="0" applyFont="1" applyBorder="1" applyAlignment="1">
      <alignment/>
    </xf>
    <xf numFmtId="0" fontId="1" fillId="0" borderId="0" xfId="0" applyFont="1" applyBorder="1" applyAlignment="1" applyProtection="1">
      <alignment/>
      <protection locked="0"/>
    </xf>
    <xf numFmtId="0" fontId="1" fillId="0" borderId="28" xfId="0" applyFont="1" applyBorder="1" applyAlignment="1">
      <alignment/>
    </xf>
    <xf numFmtId="0" fontId="1" fillId="0" borderId="27" xfId="0" applyFont="1" applyFill="1" applyBorder="1" applyAlignment="1" applyProtection="1">
      <alignment/>
      <protection/>
    </xf>
    <xf numFmtId="0" fontId="1" fillId="0" borderId="25" xfId="0" applyFont="1" applyFill="1" applyBorder="1" applyAlignment="1" applyProtection="1">
      <alignment/>
      <protection/>
    </xf>
    <xf numFmtId="0" fontId="1" fillId="0" borderId="25" xfId="0" applyFont="1" applyFill="1" applyBorder="1" applyAlignment="1" applyProtection="1">
      <alignment horizontal="center" wrapText="1"/>
      <protection/>
    </xf>
    <xf numFmtId="0" fontId="1" fillId="0" borderId="26" xfId="0" applyFont="1" applyFill="1" applyBorder="1" applyAlignment="1" applyProtection="1">
      <alignment horizontal="center" wrapText="1"/>
      <protection/>
    </xf>
    <xf numFmtId="0" fontId="1" fillId="0" borderId="15" xfId="0" applyFont="1" applyFill="1" applyBorder="1" applyAlignment="1" applyProtection="1">
      <alignment/>
      <protection/>
    </xf>
    <xf numFmtId="180" fontId="1" fillId="0" borderId="27" xfId="42" applyNumberFormat="1" applyFont="1" applyFill="1" applyBorder="1" applyAlignment="1" applyProtection="1">
      <alignment horizontal="right"/>
      <protection locked="0"/>
    </xf>
    <xf numFmtId="3" fontId="1" fillId="0" borderId="0" xfId="0" applyNumberFormat="1" applyFont="1" applyBorder="1" applyAlignment="1">
      <alignment horizontal="left"/>
    </xf>
    <xf numFmtId="180" fontId="1" fillId="0" borderId="27" xfId="42" applyNumberFormat="1" applyFont="1" applyFill="1" applyBorder="1" applyAlignment="1" applyProtection="1">
      <alignment horizontal="right"/>
      <protection/>
    </xf>
    <xf numFmtId="0" fontId="2" fillId="0" borderId="0" xfId="0" applyFont="1" applyBorder="1" applyAlignment="1">
      <alignment/>
    </xf>
    <xf numFmtId="9" fontId="1" fillId="0" borderId="0" xfId="60" applyFont="1" applyFill="1" applyBorder="1" applyAlignment="1" applyProtection="1">
      <alignment horizontal="left"/>
      <protection/>
    </xf>
    <xf numFmtId="0" fontId="2" fillId="33" borderId="0" xfId="0" applyFont="1" applyFill="1" applyBorder="1" applyAlignment="1">
      <alignment/>
    </xf>
    <xf numFmtId="0" fontId="8" fillId="0" borderId="0" xfId="0" applyFont="1" applyBorder="1" applyAlignment="1">
      <alignment horizontal="center"/>
    </xf>
    <xf numFmtId="0" fontId="2" fillId="33" borderId="0" xfId="0" applyFont="1" applyFill="1" applyBorder="1" applyAlignment="1">
      <alignment horizontal="left" indent="2"/>
    </xf>
    <xf numFmtId="0" fontId="1" fillId="0" borderId="0" xfId="0" applyFont="1" applyFill="1" applyBorder="1" applyAlignment="1">
      <alignment/>
    </xf>
    <xf numFmtId="0" fontId="1" fillId="0" borderId="0" xfId="0" applyFont="1" applyFill="1" applyBorder="1" applyAlignment="1">
      <alignment horizontal="center"/>
    </xf>
    <xf numFmtId="180" fontId="1" fillId="0" borderId="27" xfId="42" applyNumberFormat="1" applyFont="1" applyFill="1" applyBorder="1" applyAlignment="1" applyProtection="1">
      <alignment/>
      <protection/>
    </xf>
    <xf numFmtId="0" fontId="1" fillId="0" borderId="19" xfId="0" applyFont="1" applyFill="1" applyBorder="1" applyAlignment="1">
      <alignment/>
    </xf>
    <xf numFmtId="0" fontId="1" fillId="0" borderId="0" xfId="0" applyFont="1" applyFill="1" applyBorder="1" applyAlignment="1">
      <alignment horizontal="left" indent="2"/>
    </xf>
    <xf numFmtId="0" fontId="1" fillId="0" borderId="0" xfId="0" applyFont="1" applyBorder="1" applyAlignment="1">
      <alignment horizontal="left" vertical="top"/>
    </xf>
    <xf numFmtId="180" fontId="1" fillId="0" borderId="0" xfId="42" applyNumberFormat="1" applyFont="1" applyFill="1" applyBorder="1" applyAlignment="1" applyProtection="1">
      <alignment/>
      <protection/>
    </xf>
    <xf numFmtId="180" fontId="0" fillId="0" borderId="0" xfId="0" applyNumberFormat="1" applyAlignment="1">
      <alignment/>
    </xf>
    <xf numFmtId="0" fontId="1" fillId="0" borderId="31" xfId="0" applyFont="1" applyBorder="1" applyAlignment="1">
      <alignment/>
    </xf>
    <xf numFmtId="0" fontId="2" fillId="0" borderId="32" xfId="0" applyFont="1" applyBorder="1" applyAlignment="1">
      <alignment/>
    </xf>
    <xf numFmtId="0" fontId="2" fillId="0" borderId="32" xfId="0" applyFont="1" applyFill="1" applyBorder="1" applyAlignment="1" applyProtection="1">
      <alignment/>
      <protection locked="0"/>
    </xf>
    <xf numFmtId="0" fontId="2" fillId="32" borderId="33" xfId="0" applyFont="1" applyFill="1" applyBorder="1" applyAlignment="1" applyProtection="1">
      <alignment horizontal="left"/>
      <protection locked="0"/>
    </xf>
    <xf numFmtId="0" fontId="2" fillId="32" borderId="27" xfId="0" applyFont="1" applyFill="1" applyBorder="1" applyAlignment="1" applyProtection="1">
      <alignment horizontal="left"/>
      <protection locked="0"/>
    </xf>
    <xf numFmtId="0" fontId="2" fillId="32" borderId="34" xfId="0" applyFont="1" applyFill="1" applyBorder="1" applyAlignment="1" applyProtection="1">
      <alignment horizontal="left"/>
      <protection locked="0"/>
    </xf>
    <xf numFmtId="0" fontId="1" fillId="0" borderId="35" xfId="0" applyFont="1" applyFill="1" applyBorder="1" applyAlignment="1">
      <alignment horizontal="left" indent="2"/>
    </xf>
    <xf numFmtId="0" fontId="1" fillId="0" borderId="25" xfId="0" applyFont="1" applyFill="1" applyBorder="1" applyAlignment="1">
      <alignment/>
    </xf>
    <xf numFmtId="0" fontId="1" fillId="0" borderId="25" xfId="0" applyFont="1" applyFill="1" applyBorder="1" applyAlignment="1">
      <alignment horizontal="center"/>
    </xf>
    <xf numFmtId="180" fontId="1" fillId="0" borderId="25" xfId="42" applyNumberFormat="1" applyFont="1" applyFill="1" applyBorder="1" applyAlignment="1" applyProtection="1">
      <alignment/>
      <protection/>
    </xf>
    <xf numFmtId="0" fontId="1" fillId="0" borderId="25" xfId="0" applyFont="1" applyFill="1" applyBorder="1" applyAlignment="1">
      <alignment horizontal="center" wrapText="1"/>
    </xf>
    <xf numFmtId="0" fontId="1" fillId="0" borderId="36" xfId="0" applyFont="1" applyBorder="1" applyAlignment="1">
      <alignment/>
    </xf>
    <xf numFmtId="0" fontId="1" fillId="0" borderId="0" xfId="0" applyFont="1" applyAlignment="1">
      <alignment horizontal="center"/>
    </xf>
    <xf numFmtId="0" fontId="1" fillId="0" borderId="37" xfId="0" applyFont="1" applyBorder="1" applyAlignment="1">
      <alignment/>
    </xf>
    <xf numFmtId="0" fontId="2" fillId="0" borderId="38" xfId="0" applyFont="1" applyBorder="1" applyAlignment="1">
      <alignment/>
    </xf>
    <xf numFmtId="0" fontId="2" fillId="0" borderId="38" xfId="0" applyFont="1" applyBorder="1" applyAlignment="1">
      <alignment horizontal="center"/>
    </xf>
    <xf numFmtId="0" fontId="1" fillId="0" borderId="39"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8" xfId="0" applyFont="1" applyBorder="1" applyAlignment="1">
      <alignment horizontal="center"/>
    </xf>
    <xf numFmtId="0" fontId="1" fillId="0" borderId="39" xfId="0" applyFont="1" applyBorder="1" applyAlignment="1">
      <alignment/>
    </xf>
    <xf numFmtId="0" fontId="1" fillId="0" borderId="0" xfId="0" applyFont="1" applyAlignment="1">
      <alignment vertical="top" wrapText="1"/>
    </xf>
    <xf numFmtId="0" fontId="2" fillId="0" borderId="0" xfId="0" applyFont="1" applyBorder="1" applyAlignment="1">
      <alignment/>
    </xf>
    <xf numFmtId="0" fontId="0" fillId="0" borderId="0" xfId="0" applyFont="1" applyAlignment="1">
      <alignment/>
    </xf>
    <xf numFmtId="0" fontId="0" fillId="0" borderId="0" xfId="0" applyFont="1" applyAlignment="1">
      <alignment horizontal="center"/>
    </xf>
    <xf numFmtId="179" fontId="0" fillId="0" borderId="0" xfId="42" applyFont="1" applyFill="1" applyBorder="1" applyAlignment="1" applyProtection="1">
      <alignment horizontal="center"/>
      <protection/>
    </xf>
    <xf numFmtId="179" fontId="0" fillId="0" borderId="0" xfId="42" applyFont="1" applyFill="1" applyBorder="1" applyAlignment="1" applyProtection="1">
      <alignment horizontal="right"/>
      <protection/>
    </xf>
    <xf numFmtId="179" fontId="0" fillId="0" borderId="11" xfId="42" applyFont="1" applyFill="1" applyBorder="1" applyAlignment="1" applyProtection="1">
      <alignment horizontal="center"/>
      <protection/>
    </xf>
    <xf numFmtId="179" fontId="0" fillId="0" borderId="11" xfId="42" applyFont="1" applyFill="1" applyBorder="1" applyAlignment="1" applyProtection="1">
      <alignment horizontal="right"/>
      <protection/>
    </xf>
    <xf numFmtId="0" fontId="0" fillId="0" borderId="13"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center"/>
    </xf>
    <xf numFmtId="0" fontId="10" fillId="0" borderId="40" xfId="0" applyFont="1" applyBorder="1" applyAlignment="1">
      <alignment/>
    </xf>
    <xf numFmtId="0" fontId="10" fillId="0" borderId="41" xfId="0" applyFont="1" applyBorder="1" applyAlignment="1">
      <alignment horizontal="center"/>
    </xf>
    <xf numFmtId="179" fontId="10" fillId="0" borderId="41" xfId="42" applyFont="1" applyFill="1" applyBorder="1" applyAlignment="1" applyProtection="1">
      <alignment horizontal="center"/>
      <protection/>
    </xf>
    <xf numFmtId="179" fontId="10" fillId="0" borderId="40" xfId="42" applyFont="1" applyFill="1" applyBorder="1" applyAlignment="1" applyProtection="1">
      <alignment horizontal="center"/>
      <protection/>
    </xf>
    <xf numFmtId="179" fontId="10" fillId="0" borderId="42" xfId="42" applyFont="1" applyFill="1" applyBorder="1" applyAlignment="1" applyProtection="1">
      <alignment horizontal="center"/>
      <protection/>
    </xf>
    <xf numFmtId="0" fontId="0" fillId="0" borderId="30" xfId="0" applyFont="1" applyBorder="1" applyAlignment="1">
      <alignment horizontal="left" indent="1"/>
    </xf>
    <xf numFmtId="0" fontId="0" fillId="0" borderId="0" xfId="0" applyFont="1" applyBorder="1" applyAlignment="1">
      <alignment horizontal="left" indent="1"/>
    </xf>
    <xf numFmtId="180" fontId="0" fillId="0" borderId="0" xfId="42" applyNumberFormat="1" applyFont="1" applyFill="1" applyBorder="1" applyAlignment="1" applyProtection="1">
      <alignment horizontal="center"/>
      <protection/>
    </xf>
    <xf numFmtId="0" fontId="0" fillId="0" borderId="43" xfId="0" applyFont="1" applyBorder="1" applyAlignment="1">
      <alignment horizontal="left" indent="1"/>
    </xf>
    <xf numFmtId="0" fontId="0" fillId="0" borderId="21" xfId="0" applyFont="1" applyBorder="1" applyAlignment="1">
      <alignment horizontal="center"/>
    </xf>
    <xf numFmtId="177" fontId="0" fillId="0" borderId="0" xfId="42" applyNumberFormat="1" applyFont="1" applyFill="1" applyBorder="1" applyAlignment="1" applyProtection="1">
      <alignment horizontal="center"/>
      <protection/>
    </xf>
    <xf numFmtId="180" fontId="0" fillId="0" borderId="0" xfId="0" applyNumberFormat="1" applyFont="1" applyBorder="1" applyAlignment="1">
      <alignment horizontal="center"/>
    </xf>
    <xf numFmtId="0" fontId="1" fillId="0" borderId="0" xfId="0" applyFont="1" applyBorder="1" applyAlignment="1">
      <alignment horizontal="left" indent="2"/>
    </xf>
    <xf numFmtId="179" fontId="0" fillId="0" borderId="0" xfId="42" applyNumberFormat="1" applyFont="1" applyFill="1" applyBorder="1" applyAlignment="1" applyProtection="1">
      <alignment horizontal="center"/>
      <protection/>
    </xf>
    <xf numFmtId="2" fontId="0" fillId="0" borderId="0" xfId="42" applyNumberFormat="1" applyFont="1" applyFill="1" applyBorder="1" applyAlignment="1" applyProtection="1">
      <alignment horizontal="center"/>
      <protection/>
    </xf>
    <xf numFmtId="181" fontId="0" fillId="0" borderId="0" xfId="42" applyNumberFormat="1" applyFont="1" applyFill="1" applyBorder="1" applyAlignment="1" applyProtection="1">
      <alignment horizontal="center"/>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0" xfId="0" applyFont="1" applyBorder="1" applyAlignment="1">
      <alignment horizontal="left" wrapText="1"/>
    </xf>
    <xf numFmtId="0" fontId="10" fillId="0" borderId="16" xfId="0" applyFont="1" applyBorder="1" applyAlignment="1">
      <alignment wrapText="1"/>
    </xf>
    <xf numFmtId="0" fontId="10" fillId="0" borderId="16" xfId="0" applyFont="1" applyBorder="1" applyAlignment="1">
      <alignment horizontal="left" wrapText="1"/>
    </xf>
    <xf numFmtId="0" fontId="0" fillId="0" borderId="16" xfId="0" applyBorder="1" applyAlignment="1">
      <alignment/>
    </xf>
    <xf numFmtId="0" fontId="0" fillId="0" borderId="30" xfId="0" applyBorder="1" applyAlignment="1">
      <alignment/>
    </xf>
    <xf numFmtId="0" fontId="10" fillId="0" borderId="0" xfId="0" applyFont="1" applyBorder="1" applyAlignment="1">
      <alignment/>
    </xf>
    <xf numFmtId="0" fontId="0" fillId="0" borderId="0" xfId="0" applyBorder="1" applyAlignment="1">
      <alignment horizontal="center"/>
    </xf>
    <xf numFmtId="183" fontId="0" fillId="32" borderId="44" xfId="60" applyNumberFormat="1" applyFont="1" applyFill="1" applyBorder="1" applyAlignment="1" applyProtection="1">
      <alignment/>
      <protection locked="0"/>
    </xf>
    <xf numFmtId="183" fontId="0" fillId="32" borderId="45" xfId="60" applyNumberFormat="1" applyFont="1" applyFill="1" applyBorder="1" applyAlignment="1" applyProtection="1">
      <alignment/>
      <protection locked="0"/>
    </xf>
    <xf numFmtId="183" fontId="0" fillId="32" borderId="46" xfId="60" applyNumberFormat="1" applyFont="1" applyFill="1" applyBorder="1" applyAlignment="1" applyProtection="1">
      <alignment/>
      <protection locked="0"/>
    </xf>
    <xf numFmtId="183" fontId="0" fillId="32" borderId="47" xfId="60" applyNumberFormat="1" applyFont="1" applyFill="1" applyBorder="1" applyAlignment="1" applyProtection="1">
      <alignment/>
      <protection locked="0"/>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43" xfId="0" applyBorder="1" applyAlignment="1">
      <alignment/>
    </xf>
    <xf numFmtId="0" fontId="0" fillId="0" borderId="21" xfId="0" applyBorder="1" applyAlignment="1">
      <alignment/>
    </xf>
    <xf numFmtId="0" fontId="0" fillId="0" borderId="21" xfId="0" applyFill="1" applyBorder="1" applyAlignment="1">
      <alignment/>
    </xf>
    <xf numFmtId="0" fontId="0" fillId="0" borderId="22" xfId="0" applyBorder="1" applyAlignment="1">
      <alignment/>
    </xf>
    <xf numFmtId="0" fontId="0" fillId="0" borderId="0" xfId="0" applyFill="1" applyBorder="1" applyAlignment="1">
      <alignment/>
    </xf>
    <xf numFmtId="0" fontId="0" fillId="0" borderId="37" xfId="0" applyBorder="1" applyAlignment="1">
      <alignment/>
    </xf>
    <xf numFmtId="0" fontId="0"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180" fontId="0" fillId="0" borderId="0" xfId="42" applyNumberFormat="1" applyFont="1" applyFill="1" applyBorder="1" applyAlignment="1" applyProtection="1">
      <alignment/>
      <protection/>
    </xf>
    <xf numFmtId="0" fontId="10" fillId="0" borderId="0" xfId="0" applyFont="1" applyAlignment="1">
      <alignment wrapText="1"/>
    </xf>
    <xf numFmtId="180" fontId="10" fillId="0" borderId="0" xfId="42" applyNumberFormat="1" applyFont="1" applyFill="1" applyBorder="1" applyAlignment="1" applyProtection="1">
      <alignment horizontal="center" wrapText="1"/>
      <protection/>
    </xf>
    <xf numFmtId="0" fontId="0" fillId="34" borderId="0" xfId="0" applyFont="1" applyFill="1" applyAlignment="1">
      <alignment/>
    </xf>
    <xf numFmtId="180" fontId="0" fillId="34" borderId="0" xfId="42" applyNumberFormat="1" applyFont="1" applyFill="1" applyBorder="1" applyAlignment="1" applyProtection="1">
      <alignment/>
      <protection/>
    </xf>
    <xf numFmtId="16" fontId="0" fillId="0" borderId="0" xfId="0" applyNumberFormat="1" applyFont="1" applyAlignment="1">
      <alignment horizontal="right"/>
    </xf>
    <xf numFmtId="16" fontId="0" fillId="0" borderId="0" xfId="0" applyNumberFormat="1" applyFont="1" applyAlignment="1">
      <alignment/>
    </xf>
    <xf numFmtId="0" fontId="0" fillId="0" borderId="0" xfId="0" applyFont="1" applyFill="1" applyBorder="1" applyAlignment="1">
      <alignment/>
    </xf>
    <xf numFmtId="1" fontId="0" fillId="0" borderId="0" xfId="0" applyNumberFormat="1" applyFont="1" applyAlignment="1">
      <alignment/>
    </xf>
    <xf numFmtId="180" fontId="0" fillId="0" borderId="0" xfId="0" applyNumberFormat="1" applyFont="1" applyAlignment="1">
      <alignment/>
    </xf>
    <xf numFmtId="0" fontId="0" fillId="0" borderId="0" xfId="0" applyFont="1" applyAlignment="1">
      <alignment horizontal="left" indent="1"/>
    </xf>
    <xf numFmtId="0" fontId="0" fillId="0" borderId="21" xfId="0" applyFont="1" applyBorder="1" applyAlignment="1">
      <alignment/>
    </xf>
    <xf numFmtId="1" fontId="0" fillId="0" borderId="21" xfId="0" applyNumberFormat="1" applyFont="1" applyBorder="1" applyAlignment="1">
      <alignment/>
    </xf>
    <xf numFmtId="180" fontId="0" fillId="0" borderId="21" xfId="42" applyNumberFormat="1" applyFont="1" applyFill="1" applyBorder="1" applyAlignment="1" applyProtection="1">
      <alignment/>
      <protection/>
    </xf>
    <xf numFmtId="0" fontId="0" fillId="0" borderId="0" xfId="0" applyFont="1" applyFill="1" applyAlignment="1">
      <alignment/>
    </xf>
    <xf numFmtId="0" fontId="1" fillId="0" borderId="0" xfId="0" applyFont="1" applyAlignment="1">
      <alignment vertical="top"/>
    </xf>
    <xf numFmtId="0" fontId="1" fillId="0" borderId="0" xfId="0" applyFont="1" applyAlignment="1">
      <alignment horizontal="right" vertical="top" wrapText="1"/>
    </xf>
    <xf numFmtId="180" fontId="1" fillId="0" borderId="0" xfId="0" applyNumberFormat="1" applyFont="1" applyAlignment="1">
      <alignment vertical="top"/>
    </xf>
    <xf numFmtId="0" fontId="15"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5" fillId="0" borderId="18" xfId="0" applyFont="1" applyBorder="1" applyAlignment="1">
      <alignment/>
    </xf>
    <xf numFmtId="0" fontId="15" fillId="0" borderId="0" xfId="0" applyFont="1" applyBorder="1" applyAlignment="1">
      <alignment horizontal="left"/>
    </xf>
    <xf numFmtId="0" fontId="15" fillId="0" borderId="48" xfId="0" applyFont="1" applyBorder="1" applyAlignment="1">
      <alignment/>
    </xf>
    <xf numFmtId="0" fontId="15" fillId="0" borderId="19" xfId="0" applyFont="1" applyBorder="1" applyAlignment="1">
      <alignment/>
    </xf>
    <xf numFmtId="0" fontId="15" fillId="0" borderId="35" xfId="0" applyFont="1" applyBorder="1" applyAlignment="1">
      <alignment/>
    </xf>
    <xf numFmtId="0" fontId="15" fillId="0" borderId="25" xfId="0" applyFont="1" applyBorder="1" applyAlignment="1">
      <alignment/>
    </xf>
    <xf numFmtId="0" fontId="15" fillId="0" borderId="24" xfId="0" applyFont="1" applyBorder="1" applyAlignment="1">
      <alignment/>
    </xf>
    <xf numFmtId="0" fontId="16" fillId="0" borderId="0" xfId="0" applyFont="1" applyAlignment="1">
      <alignment/>
    </xf>
    <xf numFmtId="0" fontId="17" fillId="0" borderId="0" xfId="0" applyFont="1" applyBorder="1" applyAlignment="1">
      <alignment horizontal="center"/>
    </xf>
    <xf numFmtId="0" fontId="15" fillId="0" borderId="48" xfId="0" applyFont="1" applyBorder="1" applyAlignment="1">
      <alignment horizontal="left"/>
    </xf>
    <xf numFmtId="0" fontId="15" fillId="35" borderId="49" xfId="0" applyFont="1" applyFill="1" applyBorder="1" applyAlignment="1">
      <alignment horizontal="left"/>
    </xf>
    <xf numFmtId="0" fontId="15" fillId="0" borderId="0" xfId="0" applyFont="1" applyBorder="1" applyAlignment="1">
      <alignment horizontal="left" wrapText="1"/>
    </xf>
    <xf numFmtId="0" fontId="15" fillId="35" borderId="50" xfId="0" applyFont="1" applyFill="1" applyBorder="1" applyAlignment="1">
      <alignment horizontal="center"/>
    </xf>
    <xf numFmtId="0" fontId="18" fillId="0" borderId="48" xfId="0" applyFont="1" applyBorder="1" applyAlignment="1">
      <alignment/>
    </xf>
    <xf numFmtId="0" fontId="15" fillId="0" borderId="51" xfId="0" applyFont="1" applyBorder="1" applyAlignment="1">
      <alignment/>
    </xf>
    <xf numFmtId="181" fontId="1" fillId="0" borderId="27" xfId="42" applyNumberFormat="1" applyFont="1" applyFill="1" applyBorder="1" applyAlignment="1" applyProtection="1">
      <alignment horizontal="right"/>
      <protection locked="0"/>
    </xf>
    <xf numFmtId="180" fontId="1" fillId="35" borderId="27" xfId="42" applyNumberFormat="1" applyFont="1" applyFill="1" applyBorder="1" applyAlignment="1" applyProtection="1">
      <alignment horizontal="right"/>
      <protection locked="0"/>
    </xf>
    <xf numFmtId="180" fontId="0" fillId="0" borderId="27" xfId="42" applyNumberFormat="1" applyFont="1" applyFill="1" applyBorder="1" applyAlignment="1" applyProtection="1">
      <alignment/>
      <protection locked="0"/>
    </xf>
    <xf numFmtId="0" fontId="19" fillId="0" borderId="0" xfId="0" applyFont="1" applyAlignment="1">
      <alignment/>
    </xf>
    <xf numFmtId="0" fontId="15" fillId="0" borderId="48" xfId="0" applyFont="1" applyBorder="1" applyAlignment="1">
      <alignment/>
    </xf>
    <xf numFmtId="0" fontId="18" fillId="0" borderId="52" xfId="0" applyFont="1" applyBorder="1" applyAlignment="1">
      <alignment horizontal="left"/>
    </xf>
    <xf numFmtId="0" fontId="15" fillId="35" borderId="53" xfId="0" applyFont="1" applyFill="1" applyBorder="1" applyAlignment="1">
      <alignment horizontal="center" vertical="center"/>
    </xf>
    <xf numFmtId="180" fontId="0" fillId="3" borderId="0" xfId="42" applyNumberFormat="1" applyFont="1" applyFill="1" applyBorder="1" applyAlignment="1" applyProtection="1">
      <alignment/>
      <protection/>
    </xf>
    <xf numFmtId="0" fontId="22" fillId="0" borderId="0" xfId="0" applyFont="1" applyAlignment="1">
      <alignment/>
    </xf>
    <xf numFmtId="0" fontId="0" fillId="0" borderId="0" xfId="0" applyBorder="1" applyAlignment="1">
      <alignment/>
    </xf>
    <xf numFmtId="0" fontId="17" fillId="0" borderId="0" xfId="0" applyFont="1" applyBorder="1" applyAlignment="1">
      <alignment/>
    </xf>
    <xf numFmtId="0" fontId="15" fillId="0" borderId="54" xfId="0" applyFont="1" applyBorder="1" applyAlignment="1">
      <alignment/>
    </xf>
    <xf numFmtId="0" fontId="18" fillId="0" borderId="55" xfId="0" applyFont="1" applyBorder="1" applyAlignment="1">
      <alignment/>
    </xf>
    <xf numFmtId="0" fontId="15" fillId="0" borderId="55" xfId="0" applyFont="1" applyBorder="1" applyAlignment="1">
      <alignment/>
    </xf>
    <xf numFmtId="0" fontId="15" fillId="0" borderId="56" xfId="0" applyFont="1" applyBorder="1" applyAlignment="1">
      <alignment/>
    </xf>
    <xf numFmtId="0" fontId="15" fillId="0" borderId="57" xfId="0" applyFont="1" applyBorder="1" applyAlignment="1">
      <alignment/>
    </xf>
    <xf numFmtId="0" fontId="15" fillId="0" borderId="58" xfId="0" applyFont="1" applyBorder="1" applyAlignment="1">
      <alignment/>
    </xf>
    <xf numFmtId="0" fontId="20" fillId="0" borderId="0" xfId="0" applyFont="1" applyBorder="1" applyAlignment="1">
      <alignment/>
    </xf>
    <xf numFmtId="0" fontId="21" fillId="0" borderId="0" xfId="0" applyFont="1" applyBorder="1" applyAlignment="1">
      <alignment/>
    </xf>
    <xf numFmtId="0" fontId="0" fillId="0" borderId="0" xfId="0" applyFont="1" applyBorder="1" applyAlignment="1">
      <alignment/>
    </xf>
    <xf numFmtId="0" fontId="0" fillId="0" borderId="58" xfId="0" applyFont="1" applyBorder="1" applyAlignment="1">
      <alignment/>
    </xf>
    <xf numFmtId="0" fontId="18" fillId="0" borderId="0" xfId="0" applyFont="1" applyBorder="1" applyAlignment="1">
      <alignment/>
    </xf>
    <xf numFmtId="0" fontId="17" fillId="0" borderId="57" xfId="0" applyFont="1" applyBorder="1" applyAlignment="1">
      <alignment/>
    </xf>
    <xf numFmtId="0" fontId="17" fillId="0" borderId="59" xfId="0" applyFont="1" applyBorder="1" applyAlignment="1">
      <alignment/>
    </xf>
    <xf numFmtId="0" fontId="17" fillId="0" borderId="60" xfId="0" applyFont="1" applyBorder="1" applyAlignment="1">
      <alignment/>
    </xf>
    <xf numFmtId="0" fontId="16" fillId="0" borderId="60" xfId="0" applyFont="1" applyBorder="1" applyAlignment="1">
      <alignment/>
    </xf>
    <xf numFmtId="0" fontId="17" fillId="0" borderId="61" xfId="0" applyFont="1" applyBorder="1" applyAlignment="1">
      <alignment/>
    </xf>
    <xf numFmtId="0" fontId="15" fillId="35" borderId="62" xfId="0" applyFont="1" applyFill="1" applyBorder="1" applyAlignment="1">
      <alignment horizontal="left"/>
    </xf>
    <xf numFmtId="0" fontId="16" fillId="0" borderId="56" xfId="0" applyFont="1" applyBorder="1" applyAlignment="1">
      <alignment/>
    </xf>
    <xf numFmtId="0" fontId="16" fillId="0" borderId="58" xfId="0" applyFont="1" applyBorder="1" applyAlignment="1">
      <alignment/>
    </xf>
    <xf numFmtId="0" fontId="16" fillId="0" borderId="57" xfId="0" applyFont="1" applyBorder="1" applyAlignment="1">
      <alignment/>
    </xf>
    <xf numFmtId="0" fontId="16" fillId="0" borderId="0" xfId="0" applyFont="1" applyBorder="1" applyAlignment="1">
      <alignment/>
    </xf>
    <xf numFmtId="0" fontId="15" fillId="0" borderId="57" xfId="0" applyFont="1" applyBorder="1" applyAlignment="1">
      <alignment horizontal="left" wrapText="1"/>
    </xf>
    <xf numFmtId="0" fontId="15" fillId="0" borderId="58" xfId="0" applyFont="1" applyBorder="1" applyAlignment="1">
      <alignment horizontal="left" wrapText="1"/>
    </xf>
    <xf numFmtId="0" fontId="16" fillId="0" borderId="59" xfId="0" applyFont="1" applyBorder="1" applyAlignment="1">
      <alignment/>
    </xf>
    <xf numFmtId="0" fontId="17" fillId="0" borderId="60" xfId="0" applyFont="1" applyBorder="1" applyAlignment="1">
      <alignment horizontal="center"/>
    </xf>
    <xf numFmtId="0" fontId="16" fillId="0" borderId="61" xfId="0" applyFont="1" applyBorder="1" applyAlignment="1">
      <alignment/>
    </xf>
    <xf numFmtId="0" fontId="16" fillId="0" borderId="57" xfId="0" applyFont="1" applyBorder="1" applyAlignment="1">
      <alignment horizontal="left"/>
    </xf>
    <xf numFmtId="0" fontId="16" fillId="0" borderId="63" xfId="0" applyFont="1" applyBorder="1" applyAlignment="1">
      <alignment/>
    </xf>
    <xf numFmtId="0" fontId="17" fillId="0" borderId="58" xfId="0" applyFont="1" applyBorder="1" applyAlignment="1">
      <alignment horizontal="center"/>
    </xf>
    <xf numFmtId="0" fontId="17" fillId="0" borderId="58" xfId="0" applyFont="1" applyBorder="1" applyAlignment="1">
      <alignment/>
    </xf>
    <xf numFmtId="9" fontId="0" fillId="36" borderId="44" xfId="60" applyFont="1" applyFill="1" applyBorder="1" applyAlignment="1" applyProtection="1">
      <alignment/>
      <protection/>
    </xf>
    <xf numFmtId="179" fontId="10" fillId="0" borderId="0" xfId="42" applyFont="1" applyFill="1" applyBorder="1" applyAlignment="1" applyProtection="1">
      <alignment/>
      <protection/>
    </xf>
    <xf numFmtId="0" fontId="23" fillId="0" borderId="11" xfId="0" applyFont="1" applyBorder="1" applyAlignment="1">
      <alignment/>
    </xf>
    <xf numFmtId="0" fontId="0" fillId="0" borderId="0" xfId="0" applyFill="1" applyBorder="1" applyAlignment="1">
      <alignment/>
    </xf>
    <xf numFmtId="0" fontId="11" fillId="0" borderId="0" xfId="0" applyFont="1" applyBorder="1" applyAlignment="1">
      <alignment/>
    </xf>
    <xf numFmtId="0" fontId="10" fillId="35" borderId="11" xfId="0" applyFont="1" applyFill="1" applyBorder="1" applyAlignment="1">
      <alignment/>
    </xf>
    <xf numFmtId="0" fontId="17" fillId="0" borderId="0" xfId="0" applyFont="1" applyAlignment="1">
      <alignment/>
    </xf>
    <xf numFmtId="0" fontId="10" fillId="37" borderId="0" xfId="0" applyFont="1" applyFill="1" applyAlignment="1">
      <alignment/>
    </xf>
    <xf numFmtId="0" fontId="15" fillId="0" borderId="0" xfId="57" applyFont="1">
      <alignment/>
      <protection/>
    </xf>
    <xf numFmtId="0" fontId="15" fillId="0" borderId="64" xfId="57" applyFont="1" applyBorder="1">
      <alignment/>
      <protection/>
    </xf>
    <xf numFmtId="0" fontId="15" fillId="0" borderId="0" xfId="57" applyFont="1" applyBorder="1">
      <alignment/>
      <protection/>
    </xf>
    <xf numFmtId="0" fontId="15" fillId="0" borderId="0" xfId="57" applyFont="1" applyBorder="1" applyAlignment="1">
      <alignment horizontal="center"/>
      <protection/>
    </xf>
    <xf numFmtId="0" fontId="15" fillId="0" borderId="0" xfId="57" applyFont="1" applyBorder="1" applyAlignment="1">
      <alignment/>
      <protection/>
    </xf>
    <xf numFmtId="0" fontId="15" fillId="0" borderId="54" xfId="57" applyFont="1" applyBorder="1">
      <alignment/>
      <protection/>
    </xf>
    <xf numFmtId="0" fontId="15" fillId="0" borderId="55" xfId="57" applyFont="1" applyBorder="1">
      <alignment/>
      <protection/>
    </xf>
    <xf numFmtId="0" fontId="15" fillId="0" borderId="56" xfId="57" applyFont="1" applyBorder="1">
      <alignment/>
      <protection/>
    </xf>
    <xf numFmtId="0" fontId="15" fillId="0" borderId="0" xfId="57" applyFont="1" applyBorder="1" applyAlignment="1">
      <alignment horizontal="right"/>
      <protection/>
    </xf>
    <xf numFmtId="0" fontId="15" fillId="0" borderId="0" xfId="57" applyFont="1" applyBorder="1" applyAlignment="1">
      <alignment horizontal="left"/>
      <protection/>
    </xf>
    <xf numFmtId="0" fontId="15" fillId="0" borderId="57" xfId="57" applyFont="1" applyBorder="1">
      <alignment/>
      <protection/>
    </xf>
    <xf numFmtId="0" fontId="15" fillId="0" borderId="58" xfId="57" applyFont="1" applyBorder="1">
      <alignment/>
      <protection/>
    </xf>
    <xf numFmtId="0" fontId="15" fillId="35" borderId="64" xfId="57" applyFont="1" applyFill="1" applyBorder="1">
      <alignment/>
      <protection/>
    </xf>
    <xf numFmtId="0" fontId="15" fillId="0" borderId="59" xfId="57" applyFont="1" applyBorder="1">
      <alignment/>
      <protection/>
    </xf>
    <xf numFmtId="0" fontId="15" fillId="0" borderId="60" xfId="57" applyFont="1" applyBorder="1">
      <alignment/>
      <protection/>
    </xf>
    <xf numFmtId="0" fontId="15" fillId="0" borderId="61" xfId="57" applyFont="1" applyBorder="1">
      <alignment/>
      <protection/>
    </xf>
    <xf numFmtId="0" fontId="16" fillId="0" borderId="0" xfId="57" applyFont="1">
      <alignment/>
      <protection/>
    </xf>
    <xf numFmtId="0" fontId="15" fillId="0" borderId="0" xfId="57" applyFont="1" applyAlignment="1">
      <alignment horizontal="center"/>
      <protection/>
    </xf>
    <xf numFmtId="0" fontId="15" fillId="0" borderId="0" xfId="57" applyFont="1" quotePrefix="1">
      <alignment/>
      <protection/>
    </xf>
    <xf numFmtId="0" fontId="28" fillId="0" borderId="0" xfId="57" applyFont="1">
      <alignment/>
      <protection/>
    </xf>
    <xf numFmtId="9" fontId="1" fillId="35" borderId="27" xfId="60" applyNumberFormat="1" applyFont="1" applyFill="1" applyBorder="1" applyAlignment="1" applyProtection="1">
      <alignment horizontal="right"/>
      <protection locked="0"/>
    </xf>
    <xf numFmtId="180" fontId="0" fillId="38" borderId="0" xfId="42" applyNumberFormat="1" applyFont="1" applyFill="1" applyBorder="1" applyAlignment="1" applyProtection="1">
      <alignment/>
      <protection/>
    </xf>
    <xf numFmtId="0" fontId="1" fillId="0" borderId="0" xfId="0" applyFont="1" applyFill="1" applyBorder="1" applyAlignment="1">
      <alignment horizontal="left" wrapText="1"/>
    </xf>
    <xf numFmtId="0" fontId="1" fillId="0" borderId="0" xfId="0" applyFont="1" applyBorder="1" applyAlignment="1">
      <alignment horizontal="left" wrapText="1"/>
    </xf>
    <xf numFmtId="0" fontId="18" fillId="0" borderId="48" xfId="0" applyFont="1" applyBorder="1" applyAlignment="1">
      <alignment horizontal="left"/>
    </xf>
    <xf numFmtId="0" fontId="18" fillId="0" borderId="0" xfId="0" applyFont="1" applyBorder="1" applyAlignment="1">
      <alignment horizontal="left"/>
    </xf>
    <xf numFmtId="0" fontId="15" fillId="0" borderId="19" xfId="0" applyFont="1" applyBorder="1" applyAlignment="1">
      <alignment horizontal="left"/>
    </xf>
    <xf numFmtId="182" fontId="0" fillId="3" borderId="0" xfId="42" applyNumberFormat="1" applyFont="1" applyFill="1" applyBorder="1" applyAlignment="1" applyProtection="1">
      <alignment/>
      <protection/>
    </xf>
    <xf numFmtId="0" fontId="1" fillId="0" borderId="38" xfId="0" applyFont="1" applyBorder="1" applyAlignment="1">
      <alignment/>
    </xf>
    <xf numFmtId="0" fontId="1" fillId="0" borderId="0" xfId="0" applyFont="1" applyFill="1" applyBorder="1" applyAlignment="1">
      <alignment horizontal="left"/>
    </xf>
    <xf numFmtId="0" fontId="1" fillId="0" borderId="15" xfId="0" applyFont="1" applyBorder="1" applyAlignment="1">
      <alignment/>
    </xf>
    <xf numFmtId="0" fontId="1" fillId="0" borderId="65" xfId="0" applyFont="1" applyBorder="1" applyAlignment="1">
      <alignment/>
    </xf>
    <xf numFmtId="0" fontId="1" fillId="0" borderId="66" xfId="0" applyFont="1" applyFill="1" applyBorder="1" applyAlignment="1">
      <alignment/>
    </xf>
    <xf numFmtId="37" fontId="1" fillId="0" borderId="38" xfId="0" applyNumberFormat="1" applyFont="1" applyBorder="1" applyAlignment="1">
      <alignment/>
    </xf>
    <xf numFmtId="0" fontId="2" fillId="0" borderId="67" xfId="0" applyFont="1" applyBorder="1" applyAlignment="1">
      <alignment/>
    </xf>
    <xf numFmtId="0" fontId="3" fillId="0" borderId="15" xfId="0" applyFont="1" applyBorder="1" applyAlignment="1">
      <alignment horizontal="center"/>
    </xf>
    <xf numFmtId="182" fontId="0" fillId="0" borderId="27" xfId="42" applyNumberFormat="1" applyFont="1" applyFill="1" applyBorder="1" applyAlignment="1" applyProtection="1">
      <alignment horizontal="center"/>
      <protection locked="0"/>
    </xf>
    <xf numFmtId="0" fontId="1" fillId="0" borderId="68" xfId="0" applyFont="1" applyBorder="1" applyAlignment="1">
      <alignment/>
    </xf>
    <xf numFmtId="0" fontId="1" fillId="0" borderId="69" xfId="0" applyFont="1" applyBorder="1" applyAlignment="1">
      <alignment/>
    </xf>
    <xf numFmtId="0" fontId="2" fillId="0" borderId="11" xfId="0" applyFont="1" applyBorder="1" applyAlignment="1">
      <alignment/>
    </xf>
    <xf numFmtId="0" fontId="1" fillId="0" borderId="70" xfId="0" applyFont="1" applyBorder="1" applyAlignment="1">
      <alignment/>
    </xf>
    <xf numFmtId="0" fontId="29" fillId="0" borderId="0" xfId="0" applyFont="1" applyBorder="1" applyAlignment="1">
      <alignment/>
    </xf>
    <xf numFmtId="182" fontId="0" fillId="38" borderId="0" xfId="42" applyNumberFormat="1" applyFont="1" applyFill="1" applyBorder="1" applyAlignment="1" applyProtection="1">
      <alignment/>
      <protection/>
    </xf>
    <xf numFmtId="0" fontId="15" fillId="36" borderId="50" xfId="0" applyFont="1" applyFill="1" applyBorder="1" applyAlignment="1">
      <alignment horizontal="center"/>
    </xf>
    <xf numFmtId="0" fontId="1" fillId="0" borderId="0" xfId="0" applyFont="1" applyBorder="1" applyAlignment="1">
      <alignment wrapText="1"/>
    </xf>
    <xf numFmtId="2" fontId="0" fillId="0" borderId="0" xfId="0" applyNumberFormat="1" applyFont="1" applyAlignment="1">
      <alignment/>
    </xf>
    <xf numFmtId="0" fontId="0" fillId="0" borderId="71" xfId="0" applyFont="1" applyBorder="1" applyAlignment="1">
      <alignment horizontal="left"/>
    </xf>
    <xf numFmtId="0" fontId="0" fillId="0" borderId="0" xfId="0" applyBorder="1" applyAlignment="1">
      <alignment horizontal="left" indent="1"/>
    </xf>
    <xf numFmtId="0" fontId="1" fillId="0" borderId="72" xfId="0" applyFont="1" applyBorder="1" applyAlignment="1">
      <alignment/>
    </xf>
    <xf numFmtId="0" fontId="1" fillId="0" borderId="72" xfId="0" applyFont="1" applyBorder="1" applyAlignment="1">
      <alignment horizontal="center"/>
    </xf>
    <xf numFmtId="0" fontId="1" fillId="0" borderId="57" xfId="0" applyFont="1" applyBorder="1" applyAlignment="1">
      <alignment/>
    </xf>
    <xf numFmtId="0" fontId="0" fillId="0" borderId="0" xfId="42" applyNumberFormat="1" applyFont="1" applyFill="1" applyBorder="1" applyAlignment="1" applyProtection="1">
      <alignment horizontal="right"/>
      <protection/>
    </xf>
    <xf numFmtId="0" fontId="0" fillId="0" borderId="31" xfId="0" applyFont="1" applyBorder="1" applyAlignment="1">
      <alignment horizontal="left" indent="1"/>
    </xf>
    <xf numFmtId="0" fontId="0" fillId="0" borderId="32" xfId="0" applyFont="1" applyBorder="1" applyAlignment="1">
      <alignment horizontal="center"/>
    </xf>
    <xf numFmtId="0" fontId="0" fillId="0" borderId="30" xfId="0" applyBorder="1" applyAlignment="1">
      <alignment horizontal="left" indent="1"/>
    </xf>
    <xf numFmtId="0" fontId="0" fillId="0" borderId="43" xfId="0" applyBorder="1" applyAlignment="1">
      <alignment horizontal="left" indent="1"/>
    </xf>
    <xf numFmtId="0" fontId="0" fillId="0" borderId="21" xfId="0" applyBorder="1" applyAlignment="1">
      <alignment horizontal="center"/>
    </xf>
    <xf numFmtId="0" fontId="10" fillId="0" borderId="31" xfId="0" applyFont="1" applyBorder="1" applyAlignment="1">
      <alignment/>
    </xf>
    <xf numFmtId="0" fontId="10" fillId="0" borderId="32" xfId="0" applyFont="1" applyBorder="1" applyAlignment="1">
      <alignment horizontal="center"/>
    </xf>
    <xf numFmtId="179" fontId="10" fillId="0" borderId="32" xfId="42" applyFont="1" applyFill="1" applyBorder="1" applyAlignment="1" applyProtection="1">
      <alignment horizontal="center"/>
      <protection/>
    </xf>
    <xf numFmtId="177" fontId="10" fillId="0" borderId="31" xfId="42" applyNumberFormat="1" applyFont="1" applyFill="1" applyBorder="1" applyAlignment="1" applyProtection="1">
      <alignment horizontal="center"/>
      <protection/>
    </xf>
    <xf numFmtId="179" fontId="10" fillId="0" borderId="73" xfId="42" applyFont="1" applyFill="1" applyBorder="1" applyAlignment="1" applyProtection="1">
      <alignment horizontal="center"/>
      <protection/>
    </xf>
    <xf numFmtId="0" fontId="2" fillId="0" borderId="74" xfId="0" applyFont="1" applyBorder="1" applyAlignment="1">
      <alignment horizontal="left" indent="1"/>
    </xf>
    <xf numFmtId="0" fontId="1" fillId="0" borderId="75" xfId="0" applyFont="1" applyBorder="1" applyAlignment="1">
      <alignment horizontal="left" indent="1"/>
    </xf>
    <xf numFmtId="0" fontId="1" fillId="0" borderId="75" xfId="0" applyFont="1" applyBorder="1" applyAlignment="1">
      <alignment horizontal="center"/>
    </xf>
    <xf numFmtId="179" fontId="1" fillId="0" borderId="75" xfId="42" applyNumberFormat="1" applyFont="1" applyFill="1" applyBorder="1" applyAlignment="1" applyProtection="1">
      <alignment horizontal="center"/>
      <protection/>
    </xf>
    <xf numFmtId="0" fontId="1" fillId="0" borderId="75" xfId="0" applyFont="1" applyBorder="1" applyAlignment="1">
      <alignment/>
    </xf>
    <xf numFmtId="0" fontId="1" fillId="0" borderId="76" xfId="0" applyFont="1" applyBorder="1" applyAlignment="1">
      <alignment horizontal="center"/>
    </xf>
    <xf numFmtId="0" fontId="1" fillId="0" borderId="57" xfId="0" applyFont="1" applyBorder="1" applyAlignment="1">
      <alignment horizontal="left" indent="1"/>
    </xf>
    <xf numFmtId="0" fontId="1" fillId="0" borderId="0" xfId="0" applyFont="1" applyBorder="1" applyAlignment="1">
      <alignment horizontal="left" indent="1"/>
    </xf>
    <xf numFmtId="0" fontId="1" fillId="0" borderId="77" xfId="0" applyFont="1" applyBorder="1" applyAlignment="1">
      <alignment horizontal="left" indent="1"/>
    </xf>
    <xf numFmtId="0" fontId="1" fillId="0" borderId="72" xfId="0" applyFont="1" applyBorder="1" applyAlignment="1">
      <alignment horizontal="left" indent="1"/>
    </xf>
    <xf numFmtId="0" fontId="10" fillId="0" borderId="78" xfId="0" applyFont="1" applyBorder="1" applyAlignment="1">
      <alignment horizontal="left" indent="1"/>
    </xf>
    <xf numFmtId="0" fontId="0" fillId="0" borderId="79" xfId="0" applyFont="1" applyBorder="1" applyAlignment="1">
      <alignment horizontal="center"/>
    </xf>
    <xf numFmtId="0" fontId="1" fillId="0" borderId="80" xfId="0" applyFont="1" applyBorder="1" applyAlignment="1">
      <alignment/>
    </xf>
    <xf numFmtId="0" fontId="1" fillId="0" borderId="81" xfId="0" applyFont="1" applyBorder="1" applyAlignment="1">
      <alignment/>
    </xf>
    <xf numFmtId="0" fontId="1" fillId="0" borderId="82" xfId="0" applyFont="1" applyBorder="1" applyAlignment="1">
      <alignment/>
    </xf>
    <xf numFmtId="0" fontId="1" fillId="0" borderId="66" xfId="0" applyFont="1" applyBorder="1" applyAlignment="1">
      <alignment/>
    </xf>
    <xf numFmtId="1" fontId="0" fillId="0" borderId="0" xfId="42" applyNumberFormat="1" applyFont="1" applyFill="1" applyBorder="1" applyAlignment="1" applyProtection="1">
      <alignment horizontal="center"/>
      <protection/>
    </xf>
    <xf numFmtId="0" fontId="15" fillId="0" borderId="0" xfId="57" applyFont="1">
      <alignment/>
      <protection/>
    </xf>
    <xf numFmtId="183" fontId="0" fillId="0" borderId="32" xfId="42" applyNumberFormat="1" applyFont="1" applyFill="1" applyBorder="1" applyAlignment="1" applyProtection="1">
      <alignment horizontal="center"/>
      <protection/>
    </xf>
    <xf numFmtId="185" fontId="0" fillId="0" borderId="0" xfId="42" applyNumberFormat="1" applyFont="1" applyFill="1" applyBorder="1" applyAlignment="1" applyProtection="1">
      <alignment horizontal="center"/>
      <protection/>
    </xf>
    <xf numFmtId="0" fontId="0" fillId="0" borderId="0" xfId="0" applyAlignment="1">
      <alignment horizontal="right"/>
    </xf>
    <xf numFmtId="0" fontId="32"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0" borderId="0" xfId="42" applyNumberFormat="1" applyFont="1" applyFill="1" applyBorder="1" applyAlignment="1" applyProtection="1">
      <alignment horizontal="left"/>
      <protection/>
    </xf>
    <xf numFmtId="0" fontId="10" fillId="37" borderId="0" xfId="0" applyFont="1" applyFill="1" applyAlignment="1">
      <alignment horizontal="left"/>
    </xf>
    <xf numFmtId="185" fontId="1" fillId="0" borderId="0" xfId="0" applyNumberFormat="1" applyFont="1" applyBorder="1" applyAlignment="1">
      <alignment/>
    </xf>
    <xf numFmtId="185" fontId="1" fillId="0" borderId="28" xfId="0" applyNumberFormat="1" applyFont="1" applyFill="1" applyBorder="1" applyAlignment="1">
      <alignment/>
    </xf>
    <xf numFmtId="185" fontId="1" fillId="0" borderId="0" xfId="0" applyNumberFormat="1" applyFont="1" applyFill="1" applyBorder="1" applyAlignment="1">
      <alignment/>
    </xf>
    <xf numFmtId="0" fontId="1" fillId="0" borderId="0" xfId="0" applyFont="1" applyBorder="1" applyAlignment="1">
      <alignment horizontal="right"/>
    </xf>
    <xf numFmtId="0" fontId="1" fillId="0" borderId="69" xfId="0" applyFont="1" applyBorder="1" applyAlignment="1">
      <alignment horizontal="right"/>
    </xf>
    <xf numFmtId="3" fontId="0" fillId="0" borderId="0" xfId="42" applyNumberFormat="1" applyFont="1" applyFill="1" applyBorder="1" applyAlignment="1" applyProtection="1">
      <alignment horizontal="center"/>
      <protection/>
    </xf>
    <xf numFmtId="183" fontId="0" fillId="0" borderId="0" xfId="0" applyNumberFormat="1" applyFont="1" applyAlignment="1">
      <alignment/>
    </xf>
    <xf numFmtId="183" fontId="0" fillId="0" borderId="11" xfId="0" applyNumberFormat="1" applyFont="1" applyBorder="1" applyAlignment="1">
      <alignment/>
    </xf>
    <xf numFmtId="183" fontId="0" fillId="0" borderId="0" xfId="0" applyNumberFormat="1" applyFont="1" applyBorder="1" applyAlignment="1">
      <alignment/>
    </xf>
    <xf numFmtId="183" fontId="0" fillId="0" borderId="71" xfId="0" applyNumberFormat="1" applyFont="1" applyBorder="1" applyAlignment="1">
      <alignment horizontal="left"/>
    </xf>
    <xf numFmtId="183" fontId="10" fillId="0" borderId="42" xfId="42" applyNumberFormat="1" applyFont="1" applyFill="1" applyBorder="1" applyAlignment="1" applyProtection="1">
      <alignment horizontal="center"/>
      <protection/>
    </xf>
    <xf numFmtId="183" fontId="0" fillId="0" borderId="28" xfId="60" applyNumberFormat="1" applyFont="1" applyFill="1" applyBorder="1" applyAlignment="1" applyProtection="1">
      <alignment horizontal="center"/>
      <protection/>
    </xf>
    <xf numFmtId="183" fontId="0" fillId="0" borderId="22" xfId="60" applyNumberFormat="1" applyFont="1" applyFill="1" applyBorder="1" applyAlignment="1" applyProtection="1">
      <alignment horizontal="center"/>
      <protection/>
    </xf>
    <xf numFmtId="183" fontId="0" fillId="0" borderId="0" xfId="60" applyNumberFormat="1" applyFont="1" applyFill="1" applyBorder="1" applyAlignment="1" applyProtection="1">
      <alignment horizontal="center"/>
      <protection/>
    </xf>
    <xf numFmtId="183" fontId="10" fillId="0" borderId="42" xfId="60" applyNumberFormat="1" applyFont="1" applyFill="1" applyBorder="1" applyAlignment="1" applyProtection="1">
      <alignment horizontal="center"/>
      <protection/>
    </xf>
    <xf numFmtId="183" fontId="10" fillId="0" borderId="73" xfId="60" applyNumberFormat="1" applyFont="1" applyFill="1" applyBorder="1" applyAlignment="1" applyProtection="1">
      <alignment horizontal="center"/>
      <protection/>
    </xf>
    <xf numFmtId="186" fontId="0" fillId="0" borderId="21" xfId="42" applyNumberFormat="1" applyFont="1" applyFill="1" applyBorder="1" applyAlignment="1" applyProtection="1">
      <alignment horizontal="center"/>
      <protection/>
    </xf>
    <xf numFmtId="186" fontId="1" fillId="0" borderId="0" xfId="0" applyNumberFormat="1" applyFont="1" applyBorder="1" applyAlignment="1">
      <alignment/>
    </xf>
    <xf numFmtId="186" fontId="1" fillId="0" borderId="28" xfId="0" applyNumberFormat="1" applyFont="1" applyFill="1" applyBorder="1" applyAlignment="1">
      <alignment/>
    </xf>
    <xf numFmtId="186" fontId="1" fillId="0" borderId="0" xfId="0" applyNumberFormat="1" applyFont="1" applyFill="1" applyBorder="1" applyAlignment="1">
      <alignment/>
    </xf>
    <xf numFmtId="1" fontId="1" fillId="0" borderId="27" xfId="42" applyNumberFormat="1" applyFont="1" applyFill="1" applyBorder="1" applyAlignment="1" applyProtection="1">
      <alignment/>
      <protection/>
    </xf>
    <xf numFmtId="1" fontId="1" fillId="0" borderId="0" xfId="0" applyNumberFormat="1" applyFont="1" applyFill="1" applyBorder="1" applyAlignment="1">
      <alignment horizontal="center" wrapText="1"/>
    </xf>
    <xf numFmtId="1" fontId="1" fillId="0" borderId="28" xfId="0" applyNumberFormat="1" applyFont="1" applyFill="1" applyBorder="1" applyAlignment="1">
      <alignment/>
    </xf>
    <xf numFmtId="1" fontId="1" fillId="0" borderId="0" xfId="0" applyNumberFormat="1" applyFont="1" applyFill="1" applyBorder="1" applyAlignment="1">
      <alignment/>
    </xf>
    <xf numFmtId="1" fontId="1" fillId="0" borderId="19" xfId="0" applyNumberFormat="1" applyFont="1" applyFill="1" applyBorder="1" applyAlignment="1">
      <alignment/>
    </xf>
    <xf numFmtId="1" fontId="1" fillId="0" borderId="0" xfId="0" applyNumberFormat="1" applyFont="1" applyFill="1" applyBorder="1" applyAlignment="1">
      <alignment horizontal="left" indent="2"/>
    </xf>
    <xf numFmtId="1" fontId="1" fillId="0" borderId="0" xfId="0" applyNumberFormat="1" applyFont="1" applyFill="1" applyBorder="1" applyAlignment="1">
      <alignment horizontal="center"/>
    </xf>
    <xf numFmtId="9" fontId="1" fillId="0" borderId="28" xfId="0" applyNumberFormat="1" applyFont="1" applyFill="1" applyBorder="1" applyAlignment="1">
      <alignment/>
    </xf>
    <xf numFmtId="9" fontId="1" fillId="0" borderId="0" xfId="0" applyNumberFormat="1" applyFont="1" applyFill="1" applyBorder="1" applyAlignment="1">
      <alignment/>
    </xf>
    <xf numFmtId="9" fontId="1" fillId="0" borderId="0" xfId="0" applyNumberFormat="1" applyFont="1" applyBorder="1" applyAlignment="1">
      <alignment/>
    </xf>
    <xf numFmtId="177" fontId="1" fillId="0" borderId="28" xfId="0" applyNumberFormat="1" applyFont="1" applyFill="1" applyBorder="1" applyAlignment="1">
      <alignment/>
    </xf>
    <xf numFmtId="177" fontId="1" fillId="0" borderId="0" xfId="0" applyNumberFormat="1" applyFont="1" applyFill="1" applyBorder="1" applyAlignment="1">
      <alignment/>
    </xf>
    <xf numFmtId="180" fontId="0" fillId="0" borderId="0" xfId="42" applyNumberFormat="1" applyFont="1" applyFill="1" applyBorder="1" applyAlignment="1" applyProtection="1">
      <alignment horizontal="right"/>
      <protection/>
    </xf>
    <xf numFmtId="181" fontId="0" fillId="0" borderId="28" xfId="42" applyNumberFormat="1" applyFont="1" applyFill="1" applyBorder="1" applyAlignment="1" applyProtection="1">
      <alignment horizontal="right"/>
      <protection/>
    </xf>
    <xf numFmtId="9" fontId="0" fillId="0" borderId="0" xfId="60" applyFont="1" applyFill="1" applyBorder="1" applyAlignment="1" applyProtection="1">
      <alignment horizontal="right"/>
      <protection/>
    </xf>
    <xf numFmtId="9" fontId="0" fillId="0" borderId="28" xfId="60" applyFont="1" applyFill="1" applyBorder="1" applyAlignment="1" applyProtection="1">
      <alignment horizontal="right"/>
      <protection/>
    </xf>
    <xf numFmtId="180" fontId="0" fillId="0" borderId="21" xfId="42" applyNumberFormat="1" applyFont="1" applyFill="1" applyBorder="1" applyAlignment="1" applyProtection="1">
      <alignment horizontal="right"/>
      <protection/>
    </xf>
    <xf numFmtId="181" fontId="0" fillId="0" borderId="22" xfId="42" applyNumberFormat="1" applyFont="1" applyFill="1" applyBorder="1" applyAlignment="1" applyProtection="1">
      <alignment horizontal="right"/>
      <protection/>
    </xf>
    <xf numFmtId="177" fontId="0" fillId="0" borderId="0" xfId="42" applyNumberFormat="1" applyFont="1" applyFill="1" applyBorder="1" applyAlignment="1" applyProtection="1">
      <alignment horizontal="right"/>
      <protection/>
    </xf>
    <xf numFmtId="179" fontId="10" fillId="0" borderId="41" xfId="42" applyFont="1" applyFill="1" applyBorder="1" applyAlignment="1" applyProtection="1">
      <alignment horizontal="right"/>
      <protection/>
    </xf>
    <xf numFmtId="177" fontId="10" fillId="0" borderId="40" xfId="42" applyNumberFormat="1" applyFont="1" applyFill="1" applyBorder="1" applyAlignment="1" applyProtection="1">
      <alignment horizontal="right"/>
      <protection/>
    </xf>
    <xf numFmtId="179" fontId="10" fillId="0" borderId="42" xfId="42" applyFont="1" applyFill="1" applyBorder="1" applyAlignment="1" applyProtection="1">
      <alignment horizontal="right"/>
      <protection/>
    </xf>
    <xf numFmtId="179" fontId="0" fillId="0" borderId="21" xfId="42" applyNumberFormat="1" applyFont="1" applyFill="1" applyBorder="1" applyAlignment="1" applyProtection="1">
      <alignment horizontal="right"/>
      <protection/>
    </xf>
    <xf numFmtId="185" fontId="0" fillId="0" borderId="21" xfId="42" applyNumberFormat="1" applyFont="1" applyFill="1" applyBorder="1" applyAlignment="1" applyProtection="1">
      <alignment horizontal="right"/>
      <protection/>
    </xf>
    <xf numFmtId="0" fontId="33" fillId="0" borderId="0" xfId="0" applyFont="1" applyAlignment="1">
      <alignment horizontal="center"/>
    </xf>
    <xf numFmtId="0" fontId="33" fillId="0" borderId="0" xfId="0" applyFont="1" applyAlignment="1">
      <alignment horizontal="center" vertical="center"/>
    </xf>
    <xf numFmtId="0" fontId="1" fillId="0" borderId="69" xfId="0" applyFont="1" applyBorder="1" applyAlignment="1">
      <alignment horizontal="center"/>
    </xf>
    <xf numFmtId="0" fontId="15" fillId="0" borderId="0" xfId="57" applyFont="1" applyAlignment="1">
      <alignment/>
      <protection/>
    </xf>
    <xf numFmtId="180" fontId="0" fillId="0" borderId="0" xfId="42" applyNumberFormat="1" applyFont="1" applyFill="1" applyBorder="1" applyAlignment="1" applyProtection="1">
      <alignment/>
      <protection locked="0"/>
    </xf>
    <xf numFmtId="180" fontId="10" fillId="0" borderId="27" xfId="42" applyNumberFormat="1" applyFont="1" applyFill="1" applyBorder="1" applyAlignment="1" applyProtection="1">
      <alignment/>
      <protection locked="0"/>
    </xf>
    <xf numFmtId="9" fontId="0" fillId="0" borderId="71" xfId="0" applyNumberFormat="1" applyFont="1" applyBorder="1" applyAlignment="1">
      <alignment/>
    </xf>
    <xf numFmtId="1" fontId="33" fillId="0" borderId="0" xfId="0" applyNumberFormat="1" applyFont="1" applyAlignment="1">
      <alignment horizontal="center" vertical="center"/>
    </xf>
    <xf numFmtId="1" fontId="1" fillId="0" borderId="0" xfId="0" applyNumberFormat="1" applyFont="1" applyBorder="1" applyAlignment="1">
      <alignment/>
    </xf>
    <xf numFmtId="177" fontId="33" fillId="0" borderId="0" xfId="0" applyNumberFormat="1" applyFont="1" applyAlignment="1">
      <alignment horizontal="center" vertical="center"/>
    </xf>
    <xf numFmtId="185" fontId="33" fillId="0" borderId="0" xfId="0" applyNumberFormat="1" applyFont="1" applyAlignment="1">
      <alignment horizontal="center" vertical="center"/>
    </xf>
    <xf numFmtId="3" fontId="33" fillId="0" borderId="0" xfId="0" applyNumberFormat="1" applyFont="1" applyAlignment="1">
      <alignment horizontal="center" vertical="center"/>
    </xf>
    <xf numFmtId="3" fontId="1" fillId="0" borderId="28" xfId="0" applyNumberFormat="1" applyFont="1" applyFill="1" applyBorder="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1" fontId="0" fillId="0" borderId="0" xfId="0" applyNumberFormat="1" applyAlignment="1">
      <alignment/>
    </xf>
    <xf numFmtId="9" fontId="0" fillId="0" borderId="0" xfId="0" applyNumberFormat="1" applyAlignment="1">
      <alignment/>
    </xf>
    <xf numFmtId="177" fontId="10" fillId="0" borderId="31" xfId="42" applyNumberFormat="1" applyFont="1" applyFill="1" applyBorder="1" applyAlignment="1" applyProtection="1">
      <alignment horizontal="right"/>
      <protection/>
    </xf>
    <xf numFmtId="179" fontId="10" fillId="0" borderId="73" xfId="42" applyFont="1" applyFill="1" applyBorder="1" applyAlignment="1" applyProtection="1">
      <alignment horizontal="right"/>
      <protection/>
    </xf>
    <xf numFmtId="181" fontId="0" fillId="0" borderId="83" xfId="42" applyNumberFormat="1" applyFont="1" applyFill="1" applyBorder="1" applyAlignment="1" applyProtection="1">
      <alignment horizontal="right"/>
      <protection/>
    </xf>
    <xf numFmtId="181" fontId="0" fillId="0" borderId="84" xfId="42" applyNumberFormat="1" applyFont="1" applyFill="1" applyBorder="1" applyAlignment="1" applyProtection="1">
      <alignment horizontal="right"/>
      <protection/>
    </xf>
    <xf numFmtId="177" fontId="0" fillId="0" borderId="84" xfId="42" applyNumberFormat="1" applyFont="1" applyFill="1" applyBorder="1" applyAlignment="1" applyProtection="1">
      <alignment horizontal="right"/>
      <protection/>
    </xf>
    <xf numFmtId="185" fontId="0" fillId="0" borderId="85" xfId="42" applyNumberFormat="1" applyFont="1" applyFill="1" applyBorder="1" applyAlignment="1" applyProtection="1">
      <alignment horizontal="right"/>
      <protection/>
    </xf>
    <xf numFmtId="9" fontId="0" fillId="0" borderId="84" xfId="60" applyFont="1" applyFill="1" applyBorder="1" applyAlignment="1" applyProtection="1">
      <alignment horizontal="right"/>
      <protection/>
    </xf>
    <xf numFmtId="181" fontId="0" fillId="0" borderId="85" xfId="42" applyNumberFormat="1" applyFont="1" applyFill="1" applyBorder="1" applyAlignment="1" applyProtection="1">
      <alignment horizontal="right"/>
      <protection/>
    </xf>
    <xf numFmtId="183" fontId="0" fillId="0" borderId="73" xfId="60" applyNumberFormat="1" applyFont="1" applyFill="1" applyBorder="1" applyAlignment="1" applyProtection="1">
      <alignment horizontal="center"/>
      <protection/>
    </xf>
    <xf numFmtId="183" fontId="0" fillId="0" borderId="83" xfId="42" applyNumberFormat="1" applyFont="1" applyFill="1" applyBorder="1" applyAlignment="1" applyProtection="1">
      <alignment horizontal="center"/>
      <protection/>
    </xf>
    <xf numFmtId="185" fontId="0" fillId="0" borderId="84" xfId="42" applyNumberFormat="1" applyFont="1" applyFill="1" applyBorder="1" applyAlignment="1" applyProtection="1">
      <alignment horizontal="center"/>
      <protection/>
    </xf>
    <xf numFmtId="177" fontId="0" fillId="0" borderId="84" xfId="42" applyNumberFormat="1" applyFont="1" applyFill="1" applyBorder="1" applyAlignment="1" applyProtection="1">
      <alignment horizontal="center"/>
      <protection/>
    </xf>
    <xf numFmtId="1" fontId="0" fillId="0" borderId="84" xfId="42" applyNumberFormat="1" applyFont="1" applyFill="1" applyBorder="1" applyAlignment="1" applyProtection="1">
      <alignment horizontal="center"/>
      <protection/>
    </xf>
    <xf numFmtId="177" fontId="0" fillId="0" borderId="85" xfId="42" applyNumberFormat="1"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48"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center" wrapText="1"/>
      <protection/>
    </xf>
    <xf numFmtId="0" fontId="1" fillId="0" borderId="57" xfId="0" applyFont="1" applyFill="1" applyBorder="1" applyAlignment="1" applyProtection="1">
      <alignment/>
      <protection/>
    </xf>
    <xf numFmtId="0" fontId="1" fillId="0" borderId="28" xfId="0" applyFont="1" applyFill="1" applyBorder="1" applyAlignment="1" applyProtection="1">
      <alignment horizontal="center" wrapText="1"/>
      <protection/>
    </xf>
    <xf numFmtId="180" fontId="1" fillId="0" borderId="38" xfId="42" applyNumberFormat="1" applyFont="1" applyFill="1" applyBorder="1" applyAlignment="1" applyProtection="1">
      <alignment/>
      <protection/>
    </xf>
    <xf numFmtId="0" fontId="1" fillId="0" borderId="38" xfId="0" applyFont="1" applyBorder="1" applyAlignment="1">
      <alignment horizontal="center" wrapText="1"/>
    </xf>
    <xf numFmtId="0" fontId="1" fillId="0" borderId="52" xfId="0" applyFont="1" applyBorder="1" applyAlignment="1">
      <alignment/>
    </xf>
    <xf numFmtId="0" fontId="2" fillId="33" borderId="48" xfId="0" applyFont="1" applyFill="1" applyBorder="1" applyAlignment="1">
      <alignment/>
    </xf>
    <xf numFmtId="0" fontId="1" fillId="0" borderId="48" xfId="0" applyFont="1" applyFill="1" applyBorder="1" applyAlignment="1">
      <alignment/>
    </xf>
    <xf numFmtId="0" fontId="1" fillId="0" borderId="86" xfId="0" applyFont="1" applyBorder="1" applyAlignment="1">
      <alignment/>
    </xf>
    <xf numFmtId="0" fontId="2" fillId="0" borderId="72" xfId="0" applyFont="1" applyBorder="1" applyAlignment="1">
      <alignment/>
    </xf>
    <xf numFmtId="0" fontId="2" fillId="0" borderId="72" xfId="0" applyFont="1" applyBorder="1" applyAlignment="1">
      <alignment/>
    </xf>
    <xf numFmtId="0" fontId="1" fillId="0" borderId="28" xfId="0" applyFont="1" applyFill="1" applyBorder="1" applyAlignment="1" applyProtection="1">
      <alignment/>
      <protection/>
    </xf>
    <xf numFmtId="0" fontId="1" fillId="0" borderId="87" xfId="0" applyFont="1" applyFill="1" applyBorder="1" applyAlignment="1">
      <alignment/>
    </xf>
    <xf numFmtId="0" fontId="1" fillId="0" borderId="88" xfId="0" applyFont="1" applyBorder="1" applyAlignment="1">
      <alignment/>
    </xf>
    <xf numFmtId="0" fontId="1" fillId="0" borderId="0" xfId="0" applyFont="1" applyFill="1" applyAlignment="1">
      <alignment horizontal="center"/>
    </xf>
    <xf numFmtId="0" fontId="1" fillId="0" borderId="89" xfId="0" applyFont="1" applyBorder="1" applyAlignment="1">
      <alignment horizontal="center"/>
    </xf>
    <xf numFmtId="37" fontId="1" fillId="0" borderId="90" xfId="0" applyNumberFormat="1" applyFont="1" applyBorder="1" applyAlignment="1">
      <alignment/>
    </xf>
    <xf numFmtId="3" fontId="33" fillId="0" borderId="58" xfId="0" applyNumberFormat="1" applyFont="1" applyBorder="1" applyAlignment="1">
      <alignment horizontal="center" vertical="center"/>
    </xf>
    <xf numFmtId="185" fontId="33" fillId="0" borderId="58" xfId="0" applyNumberFormat="1" applyFont="1" applyBorder="1" applyAlignment="1">
      <alignment horizontal="center" vertical="center"/>
    </xf>
    <xf numFmtId="0" fontId="33" fillId="0" borderId="58" xfId="0" applyFont="1" applyBorder="1" applyAlignment="1">
      <alignment horizontal="center" vertical="center"/>
    </xf>
    <xf numFmtId="179" fontId="1" fillId="0" borderId="27" xfId="42" applyFont="1" applyFill="1" applyBorder="1" applyAlignment="1" applyProtection="1">
      <alignment horizontal="right"/>
      <protection/>
    </xf>
    <xf numFmtId="179" fontId="0" fillId="0" borderId="0" xfId="42" applyAlignment="1">
      <alignment/>
    </xf>
    <xf numFmtId="179" fontId="1" fillId="0" borderId="0" xfId="42" applyFont="1" applyAlignment="1">
      <alignment/>
    </xf>
    <xf numFmtId="179" fontId="1" fillId="0" borderId="27" xfId="42" applyFont="1" applyFill="1" applyBorder="1" applyAlignment="1" applyProtection="1">
      <alignment/>
      <protection/>
    </xf>
    <xf numFmtId="179" fontId="1" fillId="0" borderId="91" xfId="42" applyFont="1" applyFill="1" applyBorder="1" applyAlignment="1" applyProtection="1">
      <alignment horizontal="center"/>
      <protection/>
    </xf>
    <xf numFmtId="179" fontId="1" fillId="0" borderId="92" xfId="42" applyFont="1" applyFill="1" applyBorder="1" applyAlignment="1" applyProtection="1">
      <alignment horizontal="center"/>
      <protection/>
    </xf>
    <xf numFmtId="177" fontId="1" fillId="39" borderId="27" xfId="0" applyNumberFormat="1" applyFont="1" applyFill="1" applyBorder="1" applyAlignment="1" applyProtection="1">
      <alignment/>
      <protection locked="0"/>
    </xf>
    <xf numFmtId="177" fontId="1" fillId="39" borderId="71" xfId="0" applyNumberFormat="1" applyFont="1" applyFill="1" applyBorder="1" applyAlignment="1" applyProtection="1">
      <alignment/>
      <protection locked="0"/>
    </xf>
    <xf numFmtId="9" fontId="0" fillId="35" borderId="27" xfId="60" applyFill="1" applyBorder="1" applyAlignment="1" applyProtection="1">
      <alignment horizontal="right"/>
      <protection locked="0"/>
    </xf>
    <xf numFmtId="181" fontId="1" fillId="0" borderId="27" xfId="42" applyNumberFormat="1" applyFont="1" applyFill="1" applyBorder="1" applyAlignment="1" applyProtection="1">
      <alignment/>
      <protection/>
    </xf>
    <xf numFmtId="181" fontId="1" fillId="0" borderId="92" xfId="42" applyNumberFormat="1" applyFont="1" applyFill="1" applyBorder="1" applyAlignment="1" applyProtection="1">
      <alignment horizontal="center"/>
      <protection/>
    </xf>
    <xf numFmtId="182" fontId="1" fillId="0" borderId="92" xfId="42" applyNumberFormat="1" applyFont="1" applyFill="1" applyBorder="1" applyAlignment="1" applyProtection="1">
      <alignment horizontal="center"/>
      <protection/>
    </xf>
    <xf numFmtId="180" fontId="1" fillId="0" borderId="92" xfId="42" applyNumberFormat="1" applyFont="1" applyFill="1" applyBorder="1" applyAlignment="1" applyProtection="1">
      <alignment horizontal="center"/>
      <protection/>
    </xf>
    <xf numFmtId="181" fontId="1" fillId="0" borderId="38" xfId="42" applyNumberFormat="1" applyFont="1" applyFill="1" applyBorder="1" applyAlignment="1" applyProtection="1">
      <alignment horizontal="center"/>
      <protection/>
    </xf>
    <xf numFmtId="181" fontId="1" fillId="0" borderId="27" xfId="42" applyNumberFormat="1" applyFont="1" applyFill="1" applyBorder="1" applyAlignment="1" applyProtection="1">
      <alignment horizontal="right"/>
      <protection/>
    </xf>
    <xf numFmtId="182" fontId="1" fillId="0" borderId="27" xfId="42" applyNumberFormat="1" applyFont="1" applyFill="1" applyBorder="1" applyAlignment="1" applyProtection="1">
      <alignment horizontal="right"/>
      <protection/>
    </xf>
    <xf numFmtId="182" fontId="1" fillId="0" borderId="27" xfId="42" applyNumberFormat="1" applyFont="1" applyFill="1" applyBorder="1" applyAlignment="1" applyProtection="1">
      <alignment/>
      <protection/>
    </xf>
    <xf numFmtId="182" fontId="1" fillId="0" borderId="93" xfId="42" applyNumberFormat="1" applyFont="1" applyFill="1" applyBorder="1" applyAlignment="1" applyProtection="1">
      <alignment horizontal="right"/>
      <protection/>
    </xf>
    <xf numFmtId="179" fontId="1" fillId="0" borderId="75" xfId="42" applyFont="1" applyFill="1" applyBorder="1" applyAlignment="1" applyProtection="1">
      <alignment horizontal="center"/>
      <protection/>
    </xf>
    <xf numFmtId="177" fontId="1" fillId="39" borderId="94" xfId="0" applyNumberFormat="1" applyFont="1" applyFill="1" applyBorder="1" applyAlignment="1" applyProtection="1">
      <alignment/>
      <protection locked="0"/>
    </xf>
    <xf numFmtId="37" fontId="1" fillId="0" borderId="90" xfId="42" applyNumberFormat="1" applyFont="1" applyBorder="1" applyAlignment="1">
      <alignment/>
    </xf>
    <xf numFmtId="37" fontId="1" fillId="0" borderId="38" xfId="42" applyNumberFormat="1" applyFont="1" applyBorder="1" applyAlignment="1">
      <alignment/>
    </xf>
    <xf numFmtId="180" fontId="1" fillId="0" borderId="0" xfId="0" applyNumberFormat="1" applyFont="1" applyAlignment="1">
      <alignment/>
    </xf>
    <xf numFmtId="0" fontId="15" fillId="0" borderId="0" xfId="0" applyFont="1" applyFill="1" applyBorder="1" applyAlignment="1">
      <alignment horizontal="center"/>
    </xf>
    <xf numFmtId="0" fontId="15" fillId="0" borderId="95" xfId="0" applyFont="1" applyFill="1" applyBorder="1" applyAlignment="1">
      <alignment horizontal="center"/>
    </xf>
    <xf numFmtId="2" fontId="1" fillId="0" borderId="27" xfId="42" applyNumberFormat="1" applyFont="1" applyFill="1" applyBorder="1" applyAlignment="1" applyProtection="1">
      <alignment/>
      <protection/>
    </xf>
    <xf numFmtId="0" fontId="0" fillId="0" borderId="0" xfId="0" applyNumberFormat="1" applyAlignment="1">
      <alignment/>
    </xf>
    <xf numFmtId="9" fontId="1" fillId="0" borderId="27" xfId="60" applyNumberFormat="1" applyFont="1" applyFill="1" applyBorder="1" applyAlignment="1" applyProtection="1">
      <alignment/>
      <protection/>
    </xf>
    <xf numFmtId="2" fontId="1" fillId="0" borderId="25" xfId="0" applyNumberFormat="1" applyFont="1" applyBorder="1" applyAlignment="1">
      <alignment/>
    </xf>
    <xf numFmtId="177" fontId="1" fillId="0" borderId="27" xfId="42" applyNumberFormat="1" applyFont="1" applyFill="1" applyBorder="1" applyAlignment="1" applyProtection="1">
      <alignment/>
      <protection/>
    </xf>
    <xf numFmtId="1" fontId="1" fillId="0" borderId="38" xfId="42" applyNumberFormat="1" applyFont="1" applyFill="1" applyBorder="1" applyAlignment="1" applyProtection="1">
      <alignment/>
      <protection/>
    </xf>
    <xf numFmtId="180" fontId="1" fillId="0" borderId="96" xfId="42" applyNumberFormat="1" applyFont="1" applyFill="1" applyBorder="1" applyAlignment="1" applyProtection="1">
      <alignment horizontal="right"/>
      <protection/>
    </xf>
    <xf numFmtId="180" fontId="1" fillId="0" borderId="97" xfId="42" applyNumberFormat="1" applyFont="1" applyFill="1" applyBorder="1" applyAlignment="1" applyProtection="1">
      <alignment horizontal="right"/>
      <protection/>
    </xf>
    <xf numFmtId="180" fontId="1" fillId="0" borderId="98" xfId="42" applyNumberFormat="1" applyFont="1" applyFill="1" applyBorder="1" applyAlignment="1" applyProtection="1">
      <alignment horizontal="right"/>
      <protection/>
    </xf>
    <xf numFmtId="186" fontId="1" fillId="0" borderId="27" xfId="42" applyNumberFormat="1" applyFont="1" applyFill="1" applyBorder="1" applyAlignment="1" applyProtection="1">
      <alignment horizontal="right"/>
      <protection/>
    </xf>
    <xf numFmtId="186" fontId="1" fillId="0" borderId="27" xfId="42" applyNumberFormat="1" applyFont="1" applyFill="1" applyBorder="1" applyAlignment="1" applyProtection="1">
      <alignment/>
      <protection/>
    </xf>
    <xf numFmtId="177" fontId="1" fillId="0" borderId="0" xfId="0" applyNumberFormat="1" applyFont="1" applyAlignment="1">
      <alignment/>
    </xf>
    <xf numFmtId="177" fontId="1" fillId="0" borderId="27" xfId="42" applyNumberFormat="1" applyFont="1" applyFill="1" applyBorder="1" applyAlignment="1" applyProtection="1">
      <alignment horizontal="right"/>
      <protection/>
    </xf>
    <xf numFmtId="183" fontId="1" fillId="0" borderId="27" xfId="42" applyNumberFormat="1" applyFont="1" applyFill="1" applyBorder="1" applyAlignment="1" applyProtection="1">
      <alignment horizontal="right"/>
      <protection/>
    </xf>
    <xf numFmtId="183" fontId="1" fillId="0" borderId="27" xfId="42" applyNumberFormat="1" applyFont="1" applyFill="1" applyBorder="1" applyAlignment="1" applyProtection="1">
      <alignment/>
      <protection/>
    </xf>
    <xf numFmtId="1" fontId="1" fillId="0" borderId="27" xfId="42" applyNumberFormat="1" applyFont="1" applyFill="1" applyBorder="1" applyAlignment="1" applyProtection="1">
      <alignment horizontal="right"/>
      <protection/>
    </xf>
    <xf numFmtId="9" fontId="1" fillId="0" borderId="27" xfId="42" applyNumberFormat="1" applyFont="1" applyFill="1" applyBorder="1" applyAlignment="1" applyProtection="1">
      <alignment/>
      <protection/>
    </xf>
    <xf numFmtId="9" fontId="1" fillId="0" borderId="27" xfId="60" applyFont="1" applyFill="1" applyBorder="1" applyAlignment="1" applyProtection="1">
      <alignment/>
      <protection/>
    </xf>
    <xf numFmtId="0" fontId="1" fillId="0" borderId="27" xfId="42" applyNumberFormat="1" applyFont="1" applyFill="1" applyBorder="1" applyAlignment="1" applyProtection="1">
      <alignment/>
      <protection/>
    </xf>
    <xf numFmtId="0" fontId="1" fillId="0" borderId="99" xfId="0" applyFont="1" applyBorder="1" applyAlignment="1">
      <alignment/>
    </xf>
    <xf numFmtId="0" fontId="1" fillId="0" borderId="99" xfId="0" applyFont="1" applyBorder="1" applyAlignment="1">
      <alignment horizontal="center"/>
    </xf>
    <xf numFmtId="0" fontId="1" fillId="0" borderId="100" xfId="0" applyFont="1" applyFill="1" applyBorder="1" applyAlignment="1" applyProtection="1">
      <alignment horizontal="center" wrapText="1"/>
      <protection/>
    </xf>
    <xf numFmtId="0" fontId="1" fillId="0" borderId="58" xfId="0" applyFont="1" applyBorder="1" applyAlignment="1">
      <alignment horizontal="center" wrapText="1"/>
    </xf>
    <xf numFmtId="0" fontId="1" fillId="0" borderId="48" xfId="0" applyFont="1" applyFill="1" applyBorder="1" applyAlignment="1" applyProtection="1">
      <alignment/>
      <protection/>
    </xf>
    <xf numFmtId="0" fontId="1" fillId="0" borderId="30" xfId="0" applyFont="1" applyFill="1" applyBorder="1" applyAlignment="1" applyProtection="1">
      <alignment horizontal="center" wrapText="1"/>
      <protection/>
    </xf>
    <xf numFmtId="0" fontId="1" fillId="0" borderId="23" xfId="0" applyFont="1" applyBorder="1" applyAlignment="1">
      <alignment/>
    </xf>
    <xf numFmtId="185" fontId="1" fillId="39" borderId="101" xfId="0" applyNumberFormat="1" applyFont="1" applyFill="1" applyBorder="1" applyAlignment="1" applyProtection="1">
      <alignment/>
      <protection locked="0"/>
    </xf>
    <xf numFmtId="185" fontId="33" fillId="0" borderId="102" xfId="0" applyNumberFormat="1" applyFont="1" applyBorder="1" applyAlignment="1">
      <alignment horizontal="center" vertical="center"/>
    </xf>
    <xf numFmtId="0" fontId="1" fillId="0" borderId="24" xfId="0" applyFont="1" applyBorder="1" applyAlignment="1">
      <alignment horizontal="center" wrapText="1"/>
    </xf>
    <xf numFmtId="0" fontId="1" fillId="0" borderId="23" xfId="0" applyFont="1" applyFill="1" applyBorder="1" applyAlignment="1" applyProtection="1">
      <alignment/>
      <protection/>
    </xf>
    <xf numFmtId="0" fontId="1" fillId="0" borderId="26" xfId="0" applyFont="1" applyFill="1" applyBorder="1" applyAlignment="1" applyProtection="1">
      <alignment/>
      <protection/>
    </xf>
    <xf numFmtId="0" fontId="1" fillId="0" borderId="25" xfId="0" applyFont="1" applyFill="1" applyBorder="1" applyAlignment="1" applyProtection="1">
      <alignment/>
      <protection/>
    </xf>
    <xf numFmtId="185" fontId="33" fillId="0" borderId="25" xfId="0" applyNumberFormat="1" applyFont="1" applyBorder="1" applyAlignment="1">
      <alignment horizontal="center" vertical="center"/>
    </xf>
    <xf numFmtId="0" fontId="33" fillId="0" borderId="102" xfId="0" applyFont="1" applyBorder="1" applyAlignment="1">
      <alignment horizontal="center" vertical="center"/>
    </xf>
    <xf numFmtId="3" fontId="32" fillId="0" borderId="58" xfId="0" applyNumberFormat="1" applyFont="1" applyBorder="1" applyAlignment="1">
      <alignment horizontal="center" vertical="center"/>
    </xf>
    <xf numFmtId="3" fontId="32" fillId="0" borderId="0" xfId="0" applyNumberFormat="1" applyFont="1" applyAlignment="1">
      <alignment horizontal="center" vertical="center"/>
    </xf>
    <xf numFmtId="0" fontId="1" fillId="0" borderId="23" xfId="42" applyNumberFormat="1" applyFont="1" applyBorder="1" applyAlignment="1">
      <alignment/>
    </xf>
    <xf numFmtId="181" fontId="1" fillId="40" borderId="27" xfId="42" applyNumberFormat="1" applyFont="1" applyFill="1" applyBorder="1" applyAlignment="1" applyProtection="1">
      <alignment horizontal="right"/>
      <protection locked="0"/>
    </xf>
    <xf numFmtId="177" fontId="1" fillId="41" borderId="27" xfId="0" applyNumberFormat="1" applyFont="1" applyFill="1" applyBorder="1" applyAlignment="1" applyProtection="1">
      <alignment/>
      <protection locked="0"/>
    </xf>
    <xf numFmtId="177" fontId="1" fillId="40" borderId="71" xfId="0" applyNumberFormat="1" applyFont="1" applyFill="1" applyBorder="1" applyAlignment="1" applyProtection="1">
      <alignment/>
      <protection locked="0"/>
    </xf>
    <xf numFmtId="177" fontId="1" fillId="40" borderId="94" xfId="0" applyNumberFormat="1" applyFont="1" applyFill="1" applyBorder="1" applyAlignment="1" applyProtection="1">
      <alignment/>
      <protection locked="0"/>
    </xf>
    <xf numFmtId="177" fontId="1" fillId="40" borderId="92" xfId="0" applyNumberFormat="1" applyFont="1" applyFill="1" applyBorder="1" applyAlignment="1" applyProtection="1">
      <alignment/>
      <protection locked="0"/>
    </xf>
    <xf numFmtId="0" fontId="1" fillId="0" borderId="0" xfId="0" applyFont="1" applyBorder="1" applyAlignment="1">
      <alignment vertical="center"/>
    </xf>
    <xf numFmtId="0" fontId="1" fillId="0" borderId="0" xfId="0" applyFont="1" applyAlignment="1">
      <alignment vertical="center"/>
    </xf>
    <xf numFmtId="0" fontId="78" fillId="0" borderId="0" xfId="0" applyFont="1" applyBorder="1" applyAlignment="1">
      <alignment vertical="center"/>
    </xf>
    <xf numFmtId="0" fontId="1" fillId="0" borderId="54" xfId="0" applyFont="1" applyBorder="1" applyAlignment="1">
      <alignment/>
    </xf>
    <xf numFmtId="0" fontId="1" fillId="0" borderId="55" xfId="0" applyFont="1" applyBorder="1" applyAlignment="1">
      <alignment/>
    </xf>
    <xf numFmtId="0" fontId="2" fillId="0" borderId="103" xfId="0" applyFont="1" applyBorder="1" applyAlignment="1">
      <alignment horizontal="center"/>
    </xf>
    <xf numFmtId="0" fontId="2" fillId="0" borderId="104" xfId="0" applyFont="1" applyBorder="1" applyAlignment="1">
      <alignment horizontal="center"/>
    </xf>
    <xf numFmtId="0" fontId="1" fillId="0" borderId="105" xfId="0" applyFont="1" applyBorder="1" applyAlignment="1">
      <alignment/>
    </xf>
    <xf numFmtId="0" fontId="1" fillId="0" borderId="106" xfId="0" applyFont="1" applyBorder="1" applyAlignment="1">
      <alignment/>
    </xf>
    <xf numFmtId="0" fontId="1" fillId="0" borderId="107" xfId="0" applyFont="1" applyBorder="1" applyAlignment="1">
      <alignment/>
    </xf>
    <xf numFmtId="0" fontId="36" fillId="0" borderId="108" xfId="0" applyFont="1" applyBorder="1" applyAlignment="1">
      <alignment horizontal="center" vertical="center"/>
    </xf>
    <xf numFmtId="0" fontId="15" fillId="0" borderId="0" xfId="0" applyFont="1" applyBorder="1" applyAlignment="1">
      <alignment horizontal="center" vertical="center"/>
    </xf>
    <xf numFmtId="0" fontId="1" fillId="0" borderId="108" xfId="0" applyFont="1" applyBorder="1" applyAlignment="1">
      <alignment vertical="center"/>
    </xf>
    <xf numFmtId="0" fontId="1" fillId="0" borderId="109" xfId="0" applyFont="1" applyBorder="1" applyAlignment="1">
      <alignment vertical="center"/>
    </xf>
    <xf numFmtId="0" fontId="1" fillId="0" borderId="108" xfId="0" applyFont="1" applyBorder="1" applyAlignment="1">
      <alignment/>
    </xf>
    <xf numFmtId="0" fontId="1" fillId="0" borderId="109" xfId="0" applyFont="1" applyBorder="1" applyAlignment="1">
      <alignment/>
    </xf>
    <xf numFmtId="0" fontId="1" fillId="0" borderId="110" xfId="0" applyFont="1" applyBorder="1" applyAlignment="1">
      <alignment/>
    </xf>
    <xf numFmtId="0" fontId="1" fillId="0" borderId="111" xfId="0" applyFont="1" applyBorder="1" applyAlignment="1">
      <alignment/>
    </xf>
    <xf numFmtId="0" fontId="1" fillId="0" borderId="112" xfId="0" applyFont="1" applyBorder="1" applyAlignment="1">
      <alignment/>
    </xf>
    <xf numFmtId="0" fontId="37" fillId="0" borderId="113" xfId="0" applyFont="1" applyBorder="1" applyAlignment="1">
      <alignment horizontal="center" vertical="center"/>
    </xf>
    <xf numFmtId="0" fontId="15" fillId="35" borderId="50" xfId="0" applyFont="1" applyFill="1" applyBorder="1" applyAlignment="1">
      <alignment horizontal="left"/>
    </xf>
    <xf numFmtId="0" fontId="15" fillId="35" borderId="114" xfId="0" applyFont="1" applyFill="1" applyBorder="1" applyAlignment="1">
      <alignment horizontal="left"/>
    </xf>
    <xf numFmtId="14" fontId="15" fillId="35" borderId="114" xfId="0" applyNumberFormat="1" applyFont="1" applyFill="1" applyBorder="1" applyAlignment="1">
      <alignment horizontal="left"/>
    </xf>
    <xf numFmtId="180" fontId="1" fillId="35" borderId="27" xfId="42" applyNumberFormat="1" applyFont="1" applyFill="1" applyBorder="1" applyAlignment="1" applyProtection="1">
      <alignment horizontal="center"/>
      <protection locked="0"/>
    </xf>
    <xf numFmtId="0" fontId="0" fillId="0" borderId="0" xfId="0" applyBorder="1" applyAlignment="1">
      <alignment vertical="center"/>
    </xf>
    <xf numFmtId="180" fontId="0" fillId="0" borderId="32" xfId="42" applyNumberFormat="1" applyFont="1" applyFill="1" applyBorder="1" applyAlignment="1" applyProtection="1">
      <alignment horizontal="right"/>
      <protection/>
    </xf>
    <xf numFmtId="181" fontId="0" fillId="0" borderId="32" xfId="42" applyNumberFormat="1" applyFont="1" applyFill="1" applyBorder="1" applyAlignment="1" applyProtection="1">
      <alignment horizontal="right"/>
      <protection/>
    </xf>
    <xf numFmtId="181" fontId="0" fillId="0" borderId="0" xfId="42" applyNumberFormat="1" applyFont="1" applyFill="1" applyBorder="1" applyAlignment="1" applyProtection="1">
      <alignment horizontal="right"/>
      <protection/>
    </xf>
    <xf numFmtId="181" fontId="0" fillId="0" borderId="21" xfId="42" applyNumberFormat="1" applyFont="1" applyFill="1" applyBorder="1" applyAlignment="1" applyProtection="1">
      <alignment horizontal="right"/>
      <protection/>
    </xf>
    <xf numFmtId="183" fontId="0" fillId="0" borderId="115" xfId="60" applyNumberFormat="1" applyFont="1" applyFill="1" applyBorder="1" applyAlignment="1" applyProtection="1">
      <alignment horizontal="center"/>
      <protection/>
    </xf>
    <xf numFmtId="183" fontId="0" fillId="0" borderId="116" xfId="60" applyNumberFormat="1" applyFont="1" applyFill="1" applyBorder="1" applyAlignment="1" applyProtection="1">
      <alignment horizontal="center"/>
      <protection/>
    </xf>
    <xf numFmtId="183" fontId="0" fillId="0" borderId="117" xfId="60" applyNumberFormat="1" applyFont="1" applyFill="1" applyBorder="1" applyAlignment="1" applyProtection="1">
      <alignment horizontal="center"/>
      <protection/>
    </xf>
    <xf numFmtId="177" fontId="0" fillId="42" borderId="0" xfId="42" applyNumberFormat="1" applyFont="1" applyFill="1" applyBorder="1" applyAlignment="1" applyProtection="1">
      <alignment horizontal="right"/>
      <protection/>
    </xf>
    <xf numFmtId="185" fontId="0" fillId="42" borderId="21" xfId="42" applyNumberFormat="1" applyFont="1" applyFill="1" applyBorder="1" applyAlignment="1" applyProtection="1">
      <alignment horizontal="right"/>
      <protection/>
    </xf>
    <xf numFmtId="179" fontId="10" fillId="0" borderId="0" xfId="42" applyFont="1" applyFill="1" applyBorder="1" applyAlignment="1" applyProtection="1">
      <alignment horizontal="center"/>
      <protection/>
    </xf>
    <xf numFmtId="177" fontId="10" fillId="0" borderId="0" xfId="42" applyNumberFormat="1" applyFont="1" applyFill="1" applyBorder="1" applyAlignment="1" applyProtection="1">
      <alignment horizontal="center"/>
      <protection/>
    </xf>
    <xf numFmtId="0" fontId="0" fillId="0" borderId="118" xfId="60" applyNumberFormat="1" applyFont="1" applyFill="1" applyBorder="1" applyAlignment="1" applyProtection="1">
      <alignment horizontal="center"/>
      <protection/>
    </xf>
    <xf numFmtId="185" fontId="0" fillId="0" borderId="100" xfId="60" applyNumberFormat="1" applyFont="1" applyFill="1" applyBorder="1" applyAlignment="1" applyProtection="1">
      <alignment horizontal="center"/>
      <protection/>
    </xf>
    <xf numFmtId="177" fontId="0" fillId="0" borderId="100" xfId="60" applyNumberFormat="1" applyFont="1" applyFill="1" applyBorder="1" applyAlignment="1" applyProtection="1">
      <alignment horizontal="center"/>
      <protection/>
    </xf>
    <xf numFmtId="1" fontId="0" fillId="0" borderId="100" xfId="60" applyNumberFormat="1" applyFont="1" applyFill="1" applyBorder="1" applyAlignment="1" applyProtection="1">
      <alignment horizontal="center"/>
      <protection/>
    </xf>
    <xf numFmtId="177" fontId="0" fillId="0" borderId="119" xfId="60" applyNumberFormat="1" applyFont="1" applyFill="1" applyBorder="1" applyAlignment="1" applyProtection="1">
      <alignment horizontal="center"/>
      <protection/>
    </xf>
    <xf numFmtId="1" fontId="0" fillId="0" borderId="118" xfId="60" applyNumberFormat="1" applyFont="1" applyFill="1" applyBorder="1" applyAlignment="1" applyProtection="1">
      <alignment horizontal="right"/>
      <protection/>
    </xf>
    <xf numFmtId="1" fontId="0" fillId="0" borderId="100" xfId="60" applyNumberFormat="1" applyFont="1" applyFill="1" applyBorder="1" applyAlignment="1" applyProtection="1">
      <alignment horizontal="right"/>
      <protection/>
    </xf>
    <xf numFmtId="177" fontId="0" fillId="0" borderId="100" xfId="60" applyNumberFormat="1" applyFont="1" applyFill="1" applyBorder="1" applyAlignment="1" applyProtection="1">
      <alignment horizontal="right"/>
      <protection/>
    </xf>
    <xf numFmtId="185" fontId="0" fillId="0" borderId="119" xfId="60" applyNumberFormat="1" applyFont="1" applyFill="1" applyBorder="1" applyAlignment="1" applyProtection="1">
      <alignment horizontal="right"/>
      <protection/>
    </xf>
    <xf numFmtId="0" fontId="0" fillId="0" borderId="100" xfId="60" applyNumberFormat="1" applyFont="1" applyFill="1" applyBorder="1" applyAlignment="1" applyProtection="1">
      <alignment horizontal="right"/>
      <protection/>
    </xf>
    <xf numFmtId="1" fontId="0" fillId="0" borderId="119" xfId="60" applyNumberFormat="1" applyFont="1" applyFill="1" applyBorder="1" applyAlignment="1" applyProtection="1">
      <alignment horizontal="right"/>
      <protection/>
    </xf>
    <xf numFmtId="0" fontId="0" fillId="0" borderId="31" xfId="60" applyNumberFormat="1" applyFont="1" applyFill="1" applyBorder="1" applyAlignment="1" applyProtection="1">
      <alignment horizontal="right"/>
      <protection/>
    </xf>
    <xf numFmtId="1" fontId="0" fillId="0" borderId="30" xfId="60" applyNumberFormat="1" applyFont="1" applyFill="1" applyBorder="1" applyAlignment="1" applyProtection="1">
      <alignment horizontal="right"/>
      <protection/>
    </xf>
    <xf numFmtId="1" fontId="0" fillId="0" borderId="120" xfId="60" applyNumberFormat="1" applyFont="1" applyFill="1" applyBorder="1" applyAlignment="1" applyProtection="1">
      <alignment horizontal="right"/>
      <protection/>
    </xf>
    <xf numFmtId="0" fontId="0" fillId="0" borderId="30" xfId="60" applyNumberFormat="1" applyFont="1" applyFill="1" applyBorder="1" applyAlignment="1" applyProtection="1">
      <alignment horizontal="right"/>
      <protection/>
    </xf>
    <xf numFmtId="0" fontId="0" fillId="0" borderId="43" xfId="42" applyNumberFormat="1" applyFont="1" applyFill="1" applyBorder="1" applyAlignment="1" applyProtection="1">
      <alignment horizontal="right"/>
      <protection/>
    </xf>
    <xf numFmtId="0" fontId="15" fillId="35" borderId="49" xfId="0" applyFont="1" applyFill="1" applyBorder="1" applyAlignment="1">
      <alignment/>
    </xf>
    <xf numFmtId="0" fontId="15" fillId="35" borderId="62" xfId="0" applyFont="1" applyFill="1" applyBorder="1" applyAlignment="1">
      <alignment/>
    </xf>
    <xf numFmtId="0" fontId="15" fillId="0" borderId="121" xfId="0" applyFont="1" applyFill="1" applyBorder="1" applyAlignment="1">
      <alignment/>
    </xf>
    <xf numFmtId="177" fontId="1" fillId="0" borderId="122" xfId="0" applyNumberFormat="1" applyFont="1" applyBorder="1" applyAlignment="1">
      <alignment horizontal="center"/>
    </xf>
    <xf numFmtId="177" fontId="1" fillId="0" borderId="123" xfId="0" applyNumberFormat="1" applyFont="1" applyBorder="1" applyAlignment="1">
      <alignment horizontal="center"/>
    </xf>
    <xf numFmtId="0" fontId="2" fillId="0" borderId="0" xfId="0" applyFont="1" applyBorder="1" applyAlignment="1">
      <alignment horizontal="center"/>
    </xf>
    <xf numFmtId="0" fontId="1" fillId="0" borderId="53" xfId="0" applyFont="1" applyBorder="1" applyAlignment="1">
      <alignment horizontal="center"/>
    </xf>
    <xf numFmtId="0" fontId="1" fillId="43" borderId="122" xfId="0" applyFont="1" applyFill="1" applyBorder="1" applyAlignment="1">
      <alignment horizontal="center"/>
    </xf>
    <xf numFmtId="0" fontId="1" fillId="43" borderId="123" xfId="0" applyFont="1" applyFill="1" applyBorder="1" applyAlignment="1">
      <alignment horizontal="center"/>
    </xf>
    <xf numFmtId="0" fontId="1" fillId="43" borderId="124" xfId="0" applyFont="1" applyFill="1" applyBorder="1" applyAlignment="1">
      <alignment horizontal="center"/>
    </xf>
    <xf numFmtId="177" fontId="1" fillId="0" borderId="124" xfId="0" applyNumberFormat="1" applyFont="1" applyBorder="1" applyAlignment="1">
      <alignment horizontal="center"/>
    </xf>
    <xf numFmtId="0" fontId="1" fillId="0" borderId="125" xfId="0" applyFont="1" applyBorder="1" applyAlignment="1">
      <alignment horizontal="center"/>
    </xf>
    <xf numFmtId="0" fontId="2" fillId="0" borderId="126" xfId="0" applyFont="1" applyBorder="1" applyAlignment="1">
      <alignment horizontal="center"/>
    </xf>
    <xf numFmtId="0" fontId="2" fillId="0" borderId="127" xfId="0" applyFont="1" applyBorder="1" applyAlignment="1">
      <alignment horizontal="center"/>
    </xf>
    <xf numFmtId="0" fontId="1" fillId="0" borderId="128" xfId="0" applyFont="1" applyBorder="1" applyAlignment="1">
      <alignment horizontal="center"/>
    </xf>
    <xf numFmtId="0" fontId="0" fillId="0" borderId="129" xfId="0" applyFont="1" applyFill="1" applyBorder="1" applyAlignment="1">
      <alignment horizontal="center"/>
    </xf>
    <xf numFmtId="0" fontId="36" fillId="0" borderId="130" xfId="0" applyFont="1" applyBorder="1" applyAlignment="1">
      <alignment horizontal="center" vertical="center"/>
    </xf>
    <xf numFmtId="0" fontId="36" fillId="0" borderId="57" xfId="0" applyFont="1" applyBorder="1" applyAlignment="1">
      <alignment vertical="center"/>
    </xf>
    <xf numFmtId="0" fontId="37"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 fillId="0" borderId="64" xfId="0" applyFont="1" applyFill="1" applyBorder="1" applyAlignment="1">
      <alignment horizontal="center" vertical="center"/>
    </xf>
    <xf numFmtId="1" fontId="1" fillId="0" borderId="133" xfId="0" applyNumberFormat="1" applyFont="1" applyFill="1" applyBorder="1" applyAlignment="1">
      <alignment horizontal="center" vertical="center"/>
    </xf>
    <xf numFmtId="1" fontId="1" fillId="0" borderId="64" xfId="0" applyNumberFormat="1" applyFont="1" applyFill="1" applyBorder="1" applyAlignment="1">
      <alignment horizontal="center" vertical="center"/>
    </xf>
    <xf numFmtId="0" fontId="0" fillId="0" borderId="31" xfId="0" applyBorder="1" applyAlignment="1">
      <alignment/>
    </xf>
    <xf numFmtId="0" fontId="0" fillId="0" borderId="32" xfId="0" applyBorder="1" applyAlignment="1">
      <alignment/>
    </xf>
    <xf numFmtId="0" fontId="0" fillId="0" borderId="73" xfId="0" applyBorder="1" applyAlignment="1">
      <alignment/>
    </xf>
    <xf numFmtId="1" fontId="0" fillId="0" borderId="30" xfId="42" applyNumberFormat="1" applyFont="1" applyFill="1" applyBorder="1" applyAlignment="1" applyProtection="1">
      <alignment/>
      <protection/>
    </xf>
    <xf numFmtId="179" fontId="10" fillId="0" borderId="134" xfId="42" applyFont="1" applyFill="1" applyBorder="1" applyAlignment="1" applyProtection="1">
      <alignment horizontal="center"/>
      <protection/>
    </xf>
    <xf numFmtId="1" fontId="0" fillId="0" borderId="116" xfId="42" applyNumberFormat="1" applyFont="1" applyFill="1" applyBorder="1" applyAlignment="1" applyProtection="1">
      <alignment horizontal="center"/>
      <protection/>
    </xf>
    <xf numFmtId="1" fontId="0" fillId="0" borderId="117" xfId="42" applyNumberFormat="1" applyFont="1" applyFill="1" applyBorder="1" applyAlignment="1" applyProtection="1">
      <alignment horizontal="center"/>
      <protection/>
    </xf>
    <xf numFmtId="179" fontId="10" fillId="0" borderId="30" xfId="42" applyFont="1" applyFill="1" applyBorder="1" applyAlignment="1" applyProtection="1">
      <alignment/>
      <protection/>
    </xf>
    <xf numFmtId="0" fontId="15" fillId="43" borderId="62" xfId="0" applyFont="1" applyFill="1" applyBorder="1" applyAlignment="1">
      <alignment horizontal="left"/>
    </xf>
    <xf numFmtId="0" fontId="15" fillId="35" borderId="0" xfId="0" applyNumberFormat="1" applyFont="1" applyFill="1" applyBorder="1" applyAlignment="1">
      <alignment horizontal="left"/>
    </xf>
    <xf numFmtId="0" fontId="15" fillId="0" borderId="0" xfId="0" applyFont="1" applyFill="1" applyBorder="1" applyAlignment="1">
      <alignment/>
    </xf>
    <xf numFmtId="0" fontId="15" fillId="0" borderId="0" xfId="0" applyFont="1" applyFill="1" applyBorder="1" applyAlignment="1">
      <alignment/>
    </xf>
    <xf numFmtId="0" fontId="1" fillId="0" borderId="133" xfId="0" applyFont="1" applyFill="1" applyBorder="1" applyAlignment="1">
      <alignment horizontal="center" vertical="center"/>
    </xf>
    <xf numFmtId="0" fontId="1" fillId="0" borderId="135"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108" xfId="0" applyFont="1" applyBorder="1" applyAlignment="1">
      <alignment wrapText="1"/>
    </xf>
    <xf numFmtId="0" fontId="1" fillId="0" borderId="109" xfId="0" applyFont="1" applyBorder="1" applyAlignment="1">
      <alignment wrapText="1"/>
    </xf>
    <xf numFmtId="191" fontId="1" fillId="0" borderId="91" xfId="42" applyNumberFormat="1" applyFont="1" applyFill="1" applyBorder="1" applyAlignment="1" applyProtection="1">
      <alignment horizontal="center"/>
      <protection/>
    </xf>
    <xf numFmtId="10" fontId="0" fillId="0" borderId="0" xfId="60" applyNumberFormat="1" applyAlignment="1">
      <alignment/>
    </xf>
    <xf numFmtId="0" fontId="17" fillId="0" borderId="0" xfId="0" applyFont="1" applyBorder="1" applyAlignment="1">
      <alignment horizontal="center"/>
    </xf>
    <xf numFmtId="0" fontId="15" fillId="0" borderId="57" xfId="0" applyFont="1" applyBorder="1" applyAlignment="1">
      <alignment horizontal="left" wrapText="1"/>
    </xf>
    <xf numFmtId="0" fontId="15" fillId="0" borderId="0" xfId="0" applyFont="1" applyBorder="1" applyAlignment="1">
      <alignment horizontal="left" wrapText="1"/>
    </xf>
    <xf numFmtId="0" fontId="15" fillId="35" borderId="49" xfId="0" applyFont="1" applyFill="1" applyBorder="1" applyAlignment="1">
      <alignment horizontal="center"/>
    </xf>
    <xf numFmtId="0" fontId="15" fillId="35" borderId="49" xfId="0" applyFont="1" applyFill="1" applyBorder="1" applyAlignment="1">
      <alignment horizontal="left"/>
    </xf>
    <xf numFmtId="0" fontId="15" fillId="35" borderId="62" xfId="0" applyFont="1" applyFill="1" applyBorder="1" applyAlignment="1">
      <alignment horizontal="left"/>
    </xf>
    <xf numFmtId="0" fontId="18" fillId="0" borderId="54" xfId="0" applyFont="1" applyBorder="1" applyAlignment="1">
      <alignment horizontal="center"/>
    </xf>
    <xf numFmtId="0" fontId="18" fillId="0" borderId="55" xfId="0" applyFont="1" applyBorder="1" applyAlignment="1">
      <alignment horizontal="center"/>
    </xf>
    <xf numFmtId="0" fontId="18" fillId="0" borderId="56" xfId="0" applyFont="1" applyBorder="1" applyAlignment="1">
      <alignment horizontal="center"/>
    </xf>
    <xf numFmtId="0" fontId="15" fillId="0" borderId="57" xfId="0" applyFont="1" applyBorder="1" applyAlignment="1">
      <alignment horizontal="left"/>
    </xf>
    <xf numFmtId="0" fontId="15" fillId="0" borderId="0" xfId="0" applyFont="1" applyBorder="1" applyAlignment="1">
      <alignment horizontal="left"/>
    </xf>
    <xf numFmtId="0" fontId="15" fillId="35" borderId="137" xfId="0" applyFont="1" applyFill="1" applyBorder="1" applyAlignment="1">
      <alignment horizontal="left"/>
    </xf>
    <xf numFmtId="0" fontId="18" fillId="0" borderId="48" xfId="0" applyFont="1" applyBorder="1" applyAlignment="1">
      <alignment horizontal="left"/>
    </xf>
    <xf numFmtId="0" fontId="18" fillId="0" borderId="0" xfId="0" applyFont="1" applyBorder="1" applyAlignment="1">
      <alignment horizontal="left"/>
    </xf>
    <xf numFmtId="0" fontId="15" fillId="35" borderId="138" xfId="0" applyFont="1" applyFill="1" applyBorder="1" applyAlignment="1">
      <alignment horizontal="left"/>
    </xf>
    <xf numFmtId="0" fontId="17" fillId="0" borderId="0" xfId="57" applyFont="1" applyAlignment="1">
      <alignment horizontal="center"/>
      <protection/>
    </xf>
    <xf numFmtId="0" fontId="2" fillId="32" borderId="139" xfId="0" applyFont="1" applyFill="1" applyBorder="1" applyAlignment="1" applyProtection="1">
      <alignment horizontal="left"/>
      <protection locked="0"/>
    </xf>
    <xf numFmtId="0" fontId="2" fillId="32" borderId="71" xfId="0" applyFont="1" applyFill="1" applyBorder="1" applyAlignment="1" applyProtection="1">
      <alignment horizontal="left"/>
      <protection locked="0"/>
    </xf>
    <xf numFmtId="0" fontId="2" fillId="32" borderId="140" xfId="0" applyFont="1" applyFill="1" applyBorder="1" applyAlignment="1" applyProtection="1">
      <alignment horizontal="left"/>
      <protection locked="0"/>
    </xf>
    <xf numFmtId="0" fontId="1" fillId="0" borderId="0" xfId="0" applyFont="1" applyBorder="1" applyAlignment="1">
      <alignment horizontal="left" wrapText="1"/>
    </xf>
    <xf numFmtId="0" fontId="2" fillId="32" borderId="141" xfId="0" applyFont="1" applyFill="1" applyBorder="1" applyAlignment="1" applyProtection="1">
      <alignment horizontal="left"/>
      <protection locked="0"/>
    </xf>
    <xf numFmtId="0" fontId="2" fillId="32" borderId="142" xfId="0" applyFont="1" applyFill="1" applyBorder="1" applyAlignment="1" applyProtection="1">
      <alignment horizontal="left"/>
      <protection locked="0"/>
    </xf>
    <xf numFmtId="0" fontId="2" fillId="32" borderId="143" xfId="0" applyFont="1" applyFill="1" applyBorder="1" applyAlignment="1" applyProtection="1">
      <alignment horizontal="left"/>
      <protection locked="0"/>
    </xf>
    <xf numFmtId="0" fontId="2" fillId="32" borderId="144" xfId="0" applyFont="1" applyFill="1" applyBorder="1" applyAlignment="1" applyProtection="1">
      <alignment horizontal="left"/>
      <protection locked="0"/>
    </xf>
    <xf numFmtId="0" fontId="2" fillId="32" borderId="145" xfId="0" applyFont="1" applyFill="1" applyBorder="1" applyAlignment="1" applyProtection="1">
      <alignment horizontal="left"/>
      <protection locked="0"/>
    </xf>
    <xf numFmtId="0" fontId="1" fillId="0" borderId="27" xfId="0" applyFont="1" applyFill="1" applyBorder="1" applyAlignment="1" applyProtection="1">
      <alignment horizontal="left"/>
      <protection locked="0"/>
    </xf>
    <xf numFmtId="0" fontId="1" fillId="32" borderId="27" xfId="0" applyFont="1" applyFill="1" applyBorder="1" applyAlignment="1" applyProtection="1">
      <alignment horizontal="left"/>
      <protection locked="0"/>
    </xf>
    <xf numFmtId="0" fontId="2" fillId="0" borderId="21" xfId="0" applyFont="1" applyBorder="1" applyAlignment="1">
      <alignment horizontal="left" wrapText="1"/>
    </xf>
    <xf numFmtId="0" fontId="1" fillId="0" borderId="0" xfId="0" applyFont="1" applyBorder="1" applyAlignment="1">
      <alignment horizontal="left" vertical="top"/>
    </xf>
    <xf numFmtId="0" fontId="1" fillId="35" borderId="91" xfId="60" applyNumberFormat="1" applyFont="1" applyFill="1" applyBorder="1" applyAlignment="1" applyProtection="1">
      <alignment horizontal="center"/>
      <protection locked="0"/>
    </xf>
    <xf numFmtId="0" fontId="1" fillId="0" borderId="0" xfId="0" applyFont="1" applyFill="1" applyBorder="1" applyAlignment="1">
      <alignment horizontal="left" wrapText="1"/>
    </xf>
    <xf numFmtId="0" fontId="2" fillId="0" borderId="146" xfId="0" applyFont="1" applyBorder="1" applyAlignment="1">
      <alignment horizontal="left"/>
    </xf>
    <xf numFmtId="0" fontId="3" fillId="0" borderId="147"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52" xfId="0" applyFont="1" applyBorder="1" applyAlignment="1">
      <alignment horizontal="center"/>
    </xf>
    <xf numFmtId="0" fontId="3" fillId="0" borderId="148" xfId="0" applyFont="1" applyBorder="1" applyAlignment="1">
      <alignment horizontal="center"/>
    </xf>
    <xf numFmtId="0" fontId="1" fillId="44" borderId="0" xfId="0" applyFont="1" applyFill="1" applyBorder="1" applyAlignment="1">
      <alignment horizontal="center" wrapText="1"/>
    </xf>
    <xf numFmtId="0" fontId="3" fillId="0" borderId="149" xfId="0" applyFont="1" applyBorder="1" applyAlignment="1">
      <alignment horizontal="center"/>
    </xf>
    <xf numFmtId="0" fontId="1" fillId="35" borderId="27" xfId="0" applyFont="1" applyFill="1" applyBorder="1" applyAlignment="1" applyProtection="1">
      <alignment horizontal="left"/>
      <protection locked="0"/>
    </xf>
    <xf numFmtId="0" fontId="1" fillId="0" borderId="149" xfId="0" applyFont="1" applyBorder="1" applyAlignment="1">
      <alignment horizontal="center"/>
    </xf>
    <xf numFmtId="0" fontId="1" fillId="0" borderId="71" xfId="0" applyFont="1" applyBorder="1" applyAlignment="1" applyProtection="1">
      <alignment horizontal="left"/>
      <protection locked="0"/>
    </xf>
    <xf numFmtId="14" fontId="1" fillId="35" borderId="27" xfId="0" applyNumberFormat="1" applyFont="1" applyFill="1" applyBorder="1" applyAlignment="1" applyProtection="1">
      <alignment horizontal="left"/>
      <protection locked="0"/>
    </xf>
    <xf numFmtId="178" fontId="1" fillId="0" borderId="27" xfId="0" applyNumberFormat="1" applyFont="1" applyFill="1" applyBorder="1" applyAlignment="1" applyProtection="1">
      <alignment horizontal="left"/>
      <protection locked="0"/>
    </xf>
    <xf numFmtId="0" fontId="1" fillId="35" borderId="0" xfId="0" applyFont="1" applyFill="1" applyBorder="1" applyAlignment="1">
      <alignment horizontal="center" wrapText="1"/>
    </xf>
    <xf numFmtId="0" fontId="1" fillId="40" borderId="0" xfId="0" applyFont="1" applyFill="1" applyBorder="1" applyAlignment="1">
      <alignment horizontal="center" wrapText="1"/>
    </xf>
    <xf numFmtId="0" fontId="2" fillId="0" borderId="150" xfId="0" applyFont="1" applyBorder="1" applyAlignment="1">
      <alignment horizontal="left" vertical="top"/>
    </xf>
    <xf numFmtId="0" fontId="2" fillId="0" borderId="144" xfId="0" applyFont="1" applyBorder="1" applyAlignment="1">
      <alignment horizontal="left" vertical="top"/>
    </xf>
    <xf numFmtId="0" fontId="2" fillId="0" borderId="145" xfId="0" applyFont="1" applyBorder="1" applyAlignment="1">
      <alignment horizontal="left" vertical="top"/>
    </xf>
    <xf numFmtId="0" fontId="1" fillId="0" borderId="51" xfId="0" applyFont="1" applyBorder="1" applyAlignment="1">
      <alignment horizontal="center"/>
    </xf>
    <xf numFmtId="0" fontId="3" fillId="0" borderId="52" xfId="0" applyFont="1" applyBorder="1" applyAlignment="1">
      <alignment horizontal="center"/>
    </xf>
    <xf numFmtId="0" fontId="3" fillId="0" borderId="51" xfId="0" applyFont="1" applyBorder="1" applyAlignment="1">
      <alignment horizontal="center"/>
    </xf>
    <xf numFmtId="0" fontId="3" fillId="0" borderId="18" xfId="0" applyFont="1" applyBorder="1" applyAlignment="1">
      <alignment horizontal="center"/>
    </xf>
    <xf numFmtId="0" fontId="1" fillId="0" borderId="71" xfId="0" applyFont="1" applyFill="1" applyBorder="1" applyAlignment="1" applyProtection="1">
      <alignment horizontal="left"/>
      <protection locked="0"/>
    </xf>
    <xf numFmtId="0" fontId="2" fillId="0" borderId="151" xfId="0" applyFont="1" applyBorder="1" applyAlignment="1">
      <alignment horizontal="left" wrapText="1"/>
    </xf>
    <xf numFmtId="0" fontId="1" fillId="0" borderId="32" xfId="0" applyFont="1" applyBorder="1" applyAlignment="1">
      <alignment horizontal="left" wrapText="1"/>
    </xf>
    <xf numFmtId="0" fontId="1" fillId="44" borderId="91" xfId="0" applyFont="1" applyFill="1" applyBorder="1" applyAlignment="1">
      <alignment horizontal="center" wrapText="1"/>
    </xf>
    <xf numFmtId="0" fontId="1" fillId="35" borderId="71" xfId="0" applyFont="1" applyFill="1" applyBorder="1" applyAlignment="1" applyProtection="1">
      <alignment horizontal="left"/>
      <protection locked="0"/>
    </xf>
    <xf numFmtId="14" fontId="1" fillId="35" borderId="71" xfId="0" applyNumberFormat="1" applyFont="1" applyFill="1" applyBorder="1" applyAlignment="1" applyProtection="1">
      <alignment horizontal="left"/>
      <protection locked="0"/>
    </xf>
    <xf numFmtId="178" fontId="1" fillId="0" borderId="71" xfId="0" applyNumberFormat="1" applyFont="1" applyFill="1" applyBorder="1" applyAlignment="1" applyProtection="1">
      <alignment horizontal="left"/>
      <protection locked="0"/>
    </xf>
    <xf numFmtId="0" fontId="1" fillId="0" borderId="21" xfId="0" applyFont="1" applyBorder="1" applyAlignment="1">
      <alignment horizontal="center"/>
    </xf>
    <xf numFmtId="0" fontId="3" fillId="0" borderId="21" xfId="0" applyFont="1" applyBorder="1" applyAlignment="1">
      <alignment horizontal="center"/>
    </xf>
    <xf numFmtId="0" fontId="1" fillId="32" borderId="152" xfId="0" applyFont="1" applyFill="1" applyBorder="1" applyAlignment="1" applyProtection="1">
      <alignment horizontal="left"/>
      <protection locked="0"/>
    </xf>
    <xf numFmtId="0" fontId="1" fillId="0" borderId="18" xfId="0" applyFont="1" applyBorder="1" applyAlignment="1">
      <alignment horizontal="center"/>
    </xf>
    <xf numFmtId="0" fontId="1" fillId="36" borderId="0" xfId="0" applyFont="1" applyFill="1" applyBorder="1" applyAlignment="1">
      <alignment horizontal="center" wrapText="1"/>
    </xf>
    <xf numFmtId="1" fontId="0" fillId="0" borderId="0" xfId="42" applyNumberFormat="1" applyFont="1" applyFill="1" applyBorder="1" applyAlignment="1" applyProtection="1">
      <alignment horizontal="center"/>
      <protection/>
    </xf>
    <xf numFmtId="184" fontId="10" fillId="35" borderId="11" xfId="42" applyNumberFormat="1" applyFont="1" applyFill="1" applyBorder="1" applyAlignment="1" applyProtection="1">
      <alignment horizontal="center"/>
      <protection/>
    </xf>
    <xf numFmtId="0" fontId="0" fillId="0" borderId="27" xfId="0" applyFont="1" applyBorder="1" applyAlignment="1">
      <alignment horizontal="left"/>
    </xf>
    <xf numFmtId="0" fontId="0" fillId="0" borderId="71" xfId="0" applyFont="1" applyBorder="1" applyAlignment="1">
      <alignment horizontal="left" wrapText="1"/>
    </xf>
    <xf numFmtId="0" fontId="0" fillId="0" borderId="71" xfId="0" applyFont="1" applyBorder="1" applyAlignment="1">
      <alignment horizontal="left"/>
    </xf>
    <xf numFmtId="179" fontId="10" fillId="0" borderId="0" xfId="42" applyFont="1" applyFill="1" applyBorder="1" applyAlignment="1" applyProtection="1">
      <alignment horizontal="center"/>
      <protection/>
    </xf>
    <xf numFmtId="0" fontId="1" fillId="0" borderId="153" xfId="0" applyFont="1" applyBorder="1" applyAlignment="1">
      <alignment horizontal="center"/>
    </xf>
    <xf numFmtId="0" fontId="1" fillId="0" borderId="79" xfId="0" applyFont="1" applyBorder="1" applyAlignment="1">
      <alignment horizontal="center"/>
    </xf>
    <xf numFmtId="0" fontId="1" fillId="0" borderId="154" xfId="0" applyFont="1" applyBorder="1" applyAlignment="1">
      <alignment horizontal="center"/>
    </xf>
    <xf numFmtId="0" fontId="1" fillId="0" borderId="155" xfId="0" applyFont="1" applyBorder="1" applyAlignment="1">
      <alignment horizontal="center"/>
    </xf>
    <xf numFmtId="0" fontId="1" fillId="0" borderId="156" xfId="0" applyFont="1" applyBorder="1" applyAlignment="1">
      <alignment horizontal="center"/>
    </xf>
    <xf numFmtId="0" fontId="1" fillId="0" borderId="157" xfId="0" applyFont="1" applyBorder="1" applyAlignment="1">
      <alignment horizontal="center"/>
    </xf>
    <xf numFmtId="0" fontId="36" fillId="0" borderId="158" xfId="0" applyFont="1" applyBorder="1" applyAlignment="1">
      <alignment horizontal="center" vertical="center"/>
    </xf>
    <xf numFmtId="0" fontId="36" fillId="0" borderId="159" xfId="0" applyFont="1" applyBorder="1" applyAlignment="1">
      <alignment horizontal="center" vertical="center"/>
    </xf>
    <xf numFmtId="0" fontId="36" fillId="0" borderId="160" xfId="0" applyFont="1" applyBorder="1" applyAlignment="1">
      <alignment horizontal="center" vertical="center"/>
    </xf>
    <xf numFmtId="0" fontId="1" fillId="0" borderId="161" xfId="0" applyFont="1" applyBorder="1" applyAlignment="1">
      <alignment horizontal="center"/>
    </xf>
    <xf numFmtId="0" fontId="1" fillId="0" borderId="162" xfId="0" applyFont="1" applyBorder="1" applyAlignment="1">
      <alignment horizontal="center"/>
    </xf>
    <xf numFmtId="0" fontId="1" fillId="0" borderId="163" xfId="0" applyFont="1" applyBorder="1" applyAlignment="1">
      <alignment horizontal="center"/>
    </xf>
    <xf numFmtId="0" fontId="1" fillId="0" borderId="108" xfId="0" applyFont="1" applyBorder="1" applyAlignment="1">
      <alignment horizontal="center"/>
    </xf>
    <xf numFmtId="0" fontId="1" fillId="0" borderId="109" xfId="0" applyFont="1" applyBorder="1" applyAlignment="1">
      <alignment horizontal="center"/>
    </xf>
    <xf numFmtId="0" fontId="36" fillId="0" borderId="108" xfId="0" applyFont="1" applyBorder="1" applyAlignment="1">
      <alignment horizontal="center" vertical="center"/>
    </xf>
    <xf numFmtId="0" fontId="36" fillId="0" borderId="0" xfId="0" applyFont="1" applyBorder="1" applyAlignment="1">
      <alignment horizontal="center" vertical="center"/>
    </xf>
    <xf numFmtId="0" fontId="36" fillId="0" borderId="109" xfId="0" applyFont="1" applyBorder="1" applyAlignment="1">
      <alignment horizontal="center" vertical="center"/>
    </xf>
    <xf numFmtId="0" fontId="26" fillId="0" borderId="108" xfId="53" applyBorder="1" applyAlignment="1" applyProtection="1">
      <alignment horizontal="center" vertical="center" wrapText="1"/>
      <protection/>
    </xf>
    <xf numFmtId="0" fontId="26" fillId="0" borderId="0" xfId="53" applyBorder="1" applyAlignment="1" applyProtection="1">
      <alignment horizontal="center" vertical="center" wrapText="1"/>
      <protection/>
    </xf>
    <xf numFmtId="0" fontId="26" fillId="0" borderId="109" xfId="53" applyBorder="1" applyAlignment="1" applyProtection="1">
      <alignment horizontal="center" vertical="center" wrapText="1"/>
      <protection/>
    </xf>
    <xf numFmtId="0" fontId="3" fillId="0" borderId="10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9" xfId="0" applyFont="1" applyBorder="1" applyAlignment="1">
      <alignment horizontal="center" vertical="center" wrapText="1"/>
    </xf>
    <xf numFmtId="0" fontId="26" fillId="0" borderId="108" xfId="53" applyBorder="1" applyAlignment="1" applyProtection="1">
      <alignment horizontal="center"/>
      <protection/>
    </xf>
    <xf numFmtId="0" fontId="26" fillId="0" borderId="0" xfId="53" applyBorder="1" applyAlignment="1" applyProtection="1">
      <alignment horizontal="center"/>
      <protection/>
    </xf>
    <xf numFmtId="0" fontId="26" fillId="0" borderId="109" xfId="53" applyBorder="1" applyAlignment="1" applyProtection="1">
      <alignment horizontal="center"/>
      <protection/>
    </xf>
    <xf numFmtId="0" fontId="3" fillId="0" borderId="108" xfId="0" applyFont="1" applyBorder="1" applyAlignment="1">
      <alignment horizontal="center" wrapText="1"/>
    </xf>
    <xf numFmtId="0" fontId="3" fillId="0" borderId="0" xfId="0" applyFont="1" applyBorder="1" applyAlignment="1">
      <alignment horizontal="center" wrapText="1"/>
    </xf>
    <xf numFmtId="0" fontId="3" fillId="0" borderId="109" xfId="0" applyFont="1" applyBorder="1" applyAlignment="1">
      <alignment horizontal="center" wrapText="1"/>
    </xf>
    <xf numFmtId="0" fontId="79" fillId="0" borderId="108" xfId="0" applyFont="1" applyBorder="1" applyAlignment="1">
      <alignment horizontal="center" vertical="center"/>
    </xf>
    <xf numFmtId="0" fontId="79" fillId="0" borderId="0" xfId="0" applyFont="1" applyBorder="1" applyAlignment="1">
      <alignment horizontal="center" vertical="center"/>
    </xf>
    <xf numFmtId="0" fontId="79" fillId="0" borderId="109" xfId="0" applyFont="1" applyBorder="1" applyAlignment="1">
      <alignment horizontal="center" vertical="center"/>
    </xf>
    <xf numFmtId="0" fontId="2" fillId="0" borderId="158" xfId="0" applyFont="1" applyBorder="1" applyAlignment="1">
      <alignment horizontal="center"/>
    </xf>
    <xf numFmtId="0" fontId="2" fillId="0" borderId="159" xfId="0" applyFont="1" applyBorder="1" applyAlignment="1">
      <alignment horizontal="center"/>
    </xf>
    <xf numFmtId="0" fontId="2" fillId="0" borderId="164" xfId="0" applyFont="1" applyBorder="1" applyAlignment="1">
      <alignment horizontal="center"/>
    </xf>
    <xf numFmtId="0" fontId="0" fillId="0" borderId="165" xfId="0" applyFont="1"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66" xfId="0" applyFont="1" applyFill="1" applyBorder="1" applyAlignment="1">
      <alignment horizontal="left" vertical="center" wrapText="1"/>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167" xfId="0" applyFont="1" applyFill="1" applyBorder="1" applyAlignment="1">
      <alignment horizontal="left" vertical="center"/>
    </xf>
    <xf numFmtId="0" fontId="1" fillId="0" borderId="78"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1" fillId="0" borderId="167" xfId="0" applyFont="1" applyFill="1" applyBorder="1" applyAlignment="1">
      <alignment horizontal="left" vertical="center" wrapText="1"/>
    </xf>
    <xf numFmtId="0" fontId="1" fillId="0" borderId="168" xfId="0" applyFont="1" applyFill="1" applyBorder="1" applyAlignment="1">
      <alignment horizontal="left" vertical="center"/>
    </xf>
    <xf numFmtId="0" fontId="1" fillId="0" borderId="169" xfId="0" applyFont="1" applyFill="1" applyBorder="1" applyAlignment="1">
      <alignment horizontal="left" vertical="center"/>
    </xf>
    <xf numFmtId="0" fontId="1" fillId="0" borderId="170" xfId="0" applyFont="1" applyFill="1" applyBorder="1" applyAlignment="1">
      <alignment horizontal="left" vertical="center"/>
    </xf>
    <xf numFmtId="0" fontId="1" fillId="0" borderId="78" xfId="0" applyFont="1" applyBorder="1" applyAlignment="1">
      <alignment horizontal="left" vertical="center"/>
    </xf>
    <xf numFmtId="0" fontId="1" fillId="0" borderId="79" xfId="0" applyFont="1" applyBorder="1" applyAlignment="1">
      <alignment horizontal="left" vertical="center"/>
    </xf>
    <xf numFmtId="0" fontId="1" fillId="0" borderId="167" xfId="0" applyFont="1" applyBorder="1" applyAlignment="1">
      <alignment horizontal="left" vertical="center"/>
    </xf>
    <xf numFmtId="0" fontId="2" fillId="0" borderId="171" xfId="0" applyFont="1" applyBorder="1" applyAlignment="1">
      <alignment horizontal="left" vertical="center"/>
    </xf>
    <xf numFmtId="0" fontId="2" fillId="0" borderId="169" xfId="0" applyFont="1" applyBorder="1" applyAlignment="1">
      <alignment horizontal="left" vertical="center"/>
    </xf>
    <xf numFmtId="0" fontId="2" fillId="0" borderId="172" xfId="0" applyFont="1" applyBorder="1" applyAlignment="1">
      <alignment horizontal="left" vertical="center"/>
    </xf>
    <xf numFmtId="0" fontId="2" fillId="0" borderId="153" xfId="0" applyFont="1" applyBorder="1" applyAlignment="1">
      <alignment horizontal="left" vertical="center"/>
    </xf>
    <xf numFmtId="0" fontId="2" fillId="0" borderId="79" xfId="0" applyFont="1" applyBorder="1" applyAlignment="1">
      <alignment horizontal="left" vertical="center"/>
    </xf>
    <xf numFmtId="0" fontId="2" fillId="0" borderId="167" xfId="0" applyFont="1" applyBorder="1" applyAlignment="1">
      <alignment horizontal="left" vertical="center"/>
    </xf>
    <xf numFmtId="0" fontId="1" fillId="0" borderId="173" xfId="0" applyFont="1" applyFill="1" applyBorder="1" applyAlignment="1">
      <alignment horizontal="left" vertical="center"/>
    </xf>
    <xf numFmtId="0" fontId="36" fillId="0" borderId="153" xfId="0" applyFont="1" applyBorder="1" applyAlignment="1">
      <alignment horizontal="left" vertical="center"/>
    </xf>
    <xf numFmtId="0" fontId="36" fillId="0" borderId="79" xfId="0" applyFont="1" applyBorder="1" applyAlignment="1">
      <alignment horizontal="left" vertical="center"/>
    </xf>
    <xf numFmtId="0" fontId="36" fillId="0" borderId="173" xfId="0" applyFont="1" applyBorder="1" applyAlignment="1">
      <alignment horizontal="left" vertical="center"/>
    </xf>
    <xf numFmtId="0" fontId="2" fillId="0" borderId="158" xfId="0" applyFont="1" applyBorder="1" applyAlignment="1">
      <alignment horizontal="left" vertical="center"/>
    </xf>
    <xf numFmtId="0" fontId="2" fillId="0" borderId="159" xfId="0" applyFont="1" applyBorder="1" applyAlignment="1">
      <alignment horizontal="left" vertical="center"/>
    </xf>
    <xf numFmtId="0" fontId="2" fillId="0" borderId="160" xfId="0" applyFont="1" applyBorder="1" applyAlignment="1">
      <alignment horizontal="left" vertical="center"/>
    </xf>
    <xf numFmtId="0" fontId="37" fillId="0" borderId="174" xfId="0" applyFont="1" applyBorder="1" applyAlignment="1">
      <alignment horizontal="center" vertical="center"/>
    </xf>
    <xf numFmtId="0" fontId="37" fillId="0" borderId="175" xfId="0" applyFont="1" applyBorder="1" applyAlignment="1">
      <alignment horizontal="center" vertical="center"/>
    </xf>
    <xf numFmtId="0" fontId="37" fillId="43" borderId="135" xfId="0" applyFont="1" applyFill="1" applyBorder="1" applyAlignment="1">
      <alignment horizontal="center" vertical="center"/>
    </xf>
    <xf numFmtId="0" fontId="37" fillId="43" borderId="176" xfId="0" applyFont="1" applyFill="1" applyBorder="1" applyAlignment="1">
      <alignment horizontal="center" vertical="center"/>
    </xf>
    <xf numFmtId="0" fontId="2" fillId="0" borderId="168" xfId="0" applyFont="1" applyBorder="1" applyAlignment="1">
      <alignment horizontal="center"/>
    </xf>
    <xf numFmtId="0" fontId="2" fillId="0" borderId="169" xfId="0" applyFont="1" applyBorder="1" applyAlignment="1">
      <alignment horizontal="center"/>
    </xf>
    <xf numFmtId="0" fontId="2" fillId="0" borderId="172" xfId="0" applyFont="1" applyBorder="1" applyAlignment="1">
      <alignment horizontal="center"/>
    </xf>
    <xf numFmtId="0" fontId="2" fillId="0" borderId="155" xfId="0" applyFont="1" applyBorder="1" applyAlignment="1">
      <alignment horizontal="left" vertical="center"/>
    </xf>
    <xf numFmtId="0" fontId="2" fillId="0" borderId="156" xfId="0" applyFont="1" applyBorder="1" applyAlignment="1">
      <alignment horizontal="left" vertical="center"/>
    </xf>
    <xf numFmtId="0" fontId="2" fillId="0" borderId="166" xfId="0" applyFont="1" applyBorder="1" applyAlignment="1">
      <alignment horizontal="left" vertical="center"/>
    </xf>
    <xf numFmtId="0" fontId="1" fillId="0" borderId="177" xfId="0" applyFont="1" applyFill="1" applyBorder="1" applyAlignment="1">
      <alignment horizontal="left" vertical="center"/>
    </xf>
    <xf numFmtId="0" fontId="1" fillId="0" borderId="159" xfId="0" applyFont="1" applyFill="1" applyBorder="1" applyAlignment="1">
      <alignment horizontal="left" vertical="center"/>
    </xf>
    <xf numFmtId="0" fontId="1" fillId="0" borderId="178" xfId="0" applyFont="1" applyFill="1" applyBorder="1" applyAlignment="1">
      <alignment horizontal="left" vertical="center"/>
    </xf>
    <xf numFmtId="0" fontId="37" fillId="43" borderId="179" xfId="0" applyFont="1" applyFill="1" applyBorder="1" applyAlignment="1">
      <alignment horizontal="center" vertical="center"/>
    </xf>
    <xf numFmtId="0" fontId="37" fillId="0" borderId="180" xfId="0" applyFont="1" applyBorder="1" applyAlignment="1">
      <alignment horizontal="center" vertical="center"/>
    </xf>
    <xf numFmtId="14" fontId="1" fillId="0" borderId="165" xfId="0" applyNumberFormat="1" applyFont="1" applyFill="1" applyBorder="1" applyAlignment="1">
      <alignment horizontal="left" vertical="center"/>
    </xf>
    <xf numFmtId="0" fontId="1" fillId="0" borderId="156" xfId="0" applyFont="1" applyFill="1" applyBorder="1" applyAlignment="1">
      <alignment horizontal="left" vertical="center"/>
    </xf>
    <xf numFmtId="0" fontId="1" fillId="0" borderId="129" xfId="0" applyFont="1" applyFill="1" applyBorder="1" applyAlignment="1">
      <alignment horizontal="left" vertical="center"/>
    </xf>
    <xf numFmtId="0" fontId="3" fillId="0" borderId="108" xfId="0" applyFont="1" applyBorder="1" applyAlignment="1">
      <alignment horizontal="center"/>
    </xf>
    <xf numFmtId="0" fontId="3" fillId="0" borderId="109" xfId="0" applyFont="1" applyBorder="1" applyAlignment="1">
      <alignment horizontal="center"/>
    </xf>
    <xf numFmtId="0" fontId="0" fillId="0" borderId="0" xfId="0" applyFont="1" applyBorder="1" applyAlignment="1">
      <alignment horizontal="center"/>
    </xf>
    <xf numFmtId="0" fontId="10" fillId="0" borderId="38" xfId="0" applyFont="1" applyBorder="1" applyAlignment="1" applyProtection="1">
      <alignment horizontal="left"/>
      <protection/>
    </xf>
    <xf numFmtId="0" fontId="10" fillId="0" borderId="39" xfId="0" applyFont="1" applyBorder="1" applyAlignment="1" applyProtection="1">
      <alignment horizontal="left"/>
      <protection/>
    </xf>
    <xf numFmtId="0" fontId="10" fillId="0" borderId="0" xfId="0" applyFont="1" applyBorder="1" applyAlignment="1">
      <alignment horizontal="left" wrapText="1"/>
    </xf>
    <xf numFmtId="0" fontId="0" fillId="35" borderId="49" xfId="0" applyFill="1" applyBorder="1" applyAlignment="1">
      <alignment horizontal="center"/>
    </xf>
    <xf numFmtId="0" fontId="10" fillId="0" borderId="0" xfId="0" applyFont="1" applyBorder="1" applyAlignment="1">
      <alignment horizontal="center"/>
    </xf>
    <xf numFmtId="180" fontId="10" fillId="0" borderId="0" xfId="42" applyNumberFormat="1" applyFont="1" applyFill="1" applyBorder="1" applyAlignment="1" applyProtection="1">
      <alignment horizontal="center" wrapText="1"/>
      <protection/>
    </xf>
    <xf numFmtId="0" fontId="8" fillId="0" borderId="0" xfId="0" applyFont="1" applyBorder="1" applyAlignment="1">
      <alignment horizontal="righ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water-boiling-test-wbt-data-calculation-sheet-v322" xfId="57"/>
    <cellStyle name="Note" xfId="58"/>
    <cellStyle name="Output" xfId="59"/>
    <cellStyle name="Percent" xfId="60"/>
    <cellStyle name="Title" xfId="61"/>
    <cellStyle name="Total" xfId="62"/>
    <cellStyle name="Warning Text" xfId="63"/>
  </cellStyles>
  <dxfs count="26">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
      <font>
        <color theme="5" tint="0.5999600291252136"/>
      </font>
      <fill>
        <patternFill>
          <bgColor theme="5"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1</xdr:row>
      <xdr:rowOff>38100</xdr:rowOff>
    </xdr:from>
    <xdr:to>
      <xdr:col>6</xdr:col>
      <xdr:colOff>495300</xdr:colOff>
      <xdr:row>1</xdr:row>
      <xdr:rowOff>914400</xdr:rowOff>
    </xdr:to>
    <xdr:pic>
      <xdr:nvPicPr>
        <xdr:cNvPr id="1" name="Picture 1"/>
        <xdr:cNvPicPr preferRelativeResize="1">
          <a:picLocks noChangeAspect="1"/>
        </xdr:cNvPicPr>
      </xdr:nvPicPr>
      <xdr:blipFill>
        <a:blip r:embed="rId1"/>
        <a:stretch>
          <a:fillRect/>
        </a:stretch>
      </xdr:blipFill>
      <xdr:spPr>
        <a:xfrm>
          <a:off x="2600325" y="190500"/>
          <a:ext cx="1552575" cy="876300"/>
        </a:xfrm>
        <a:prstGeom prst="rect">
          <a:avLst/>
        </a:prstGeom>
        <a:noFill/>
        <a:ln w="9525" cmpd="sng">
          <a:noFill/>
        </a:ln>
      </xdr:spPr>
    </xdr:pic>
    <xdr:clientData/>
  </xdr:twoCellAnchor>
  <xdr:twoCellAnchor editAs="oneCell">
    <xdr:from>
      <xdr:col>4</xdr:col>
      <xdr:colOff>171450</xdr:colOff>
      <xdr:row>41</xdr:row>
      <xdr:rowOff>38100</xdr:rowOff>
    </xdr:from>
    <xdr:to>
      <xdr:col>6</xdr:col>
      <xdr:colOff>504825</xdr:colOff>
      <xdr:row>41</xdr:row>
      <xdr:rowOff>904875</xdr:rowOff>
    </xdr:to>
    <xdr:pic>
      <xdr:nvPicPr>
        <xdr:cNvPr id="2" name="Picture 1"/>
        <xdr:cNvPicPr preferRelativeResize="1">
          <a:picLocks noChangeAspect="1"/>
        </xdr:cNvPicPr>
      </xdr:nvPicPr>
      <xdr:blipFill>
        <a:blip r:embed="rId1"/>
        <a:stretch>
          <a:fillRect/>
        </a:stretch>
      </xdr:blipFill>
      <xdr:spPr>
        <a:xfrm>
          <a:off x="2609850" y="8896350"/>
          <a:ext cx="15525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8</xdr:row>
      <xdr:rowOff>19050</xdr:rowOff>
    </xdr:from>
    <xdr:to>
      <xdr:col>20</xdr:col>
      <xdr:colOff>19050</xdr:colOff>
      <xdr:row>20</xdr:row>
      <xdr:rowOff>9525</xdr:rowOff>
    </xdr:to>
    <xdr:sp fLocksText="0">
      <xdr:nvSpPr>
        <xdr:cNvPr id="1" name="Text Box 1"/>
        <xdr:cNvSpPr txBox="1">
          <a:spLocks noChangeArrowheads="1"/>
        </xdr:cNvSpPr>
      </xdr:nvSpPr>
      <xdr:spPr>
        <a:xfrm>
          <a:off x="5362575" y="1819275"/>
          <a:ext cx="2543175" cy="1943100"/>
        </a:xfrm>
        <a:prstGeom prst="rect">
          <a:avLst/>
        </a:prstGeom>
        <a:noFill/>
        <a:ln w="9360" cmpd="sng">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Arial"/>
              <a:ea typeface="Arial"/>
              <a:cs typeface="Arial"/>
            </a:rPr>
            <a:t>The Delmhorst J-2000 moisture analyzer measures fuel moisture on a dry basis.  To find moisture on a wet basis, use the following equation: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does this calculation automatically if a value is entered in the dry-basis space.  Output requires moisture content on a wet basis, so the conversion is very important.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leancookstoves.org/our-work/standards-and-testing/guidelines-and-standards/guidelines--standards-documents/interim-stove-performance.pdf" TargetMode="External" /><Relationship Id="rId2" Type="http://schemas.openxmlformats.org/officeDocument/2006/relationships/hyperlink" Target="http://www.cleancookstoves.org/our-work/standards-and-testing/learn-about-testing-protocols/" TargetMode="Externa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13.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B120"/>
  <sheetViews>
    <sheetView showGridLines="0" showZeros="0" zoomScale="75" zoomScaleNormal="75" zoomScaleSheetLayoutView="100" workbookViewId="0" topLeftCell="A1">
      <selection activeCell="D1" sqref="D1"/>
    </sheetView>
  </sheetViews>
  <sheetFormatPr defaultColWidth="9.140625" defaultRowHeight="12.75"/>
  <cols>
    <col min="1" max="1" width="4.00390625" style="192" customWidth="1"/>
    <col min="2" max="2" width="27.421875" style="192" customWidth="1"/>
    <col min="3" max="3" width="20.7109375" style="192" customWidth="1"/>
    <col min="4" max="4" width="36.00390625" style="192" customWidth="1"/>
    <col min="5" max="6" width="9.140625" style="192" customWidth="1"/>
    <col min="7" max="7" width="2.7109375" style="192" customWidth="1"/>
    <col min="8" max="8" width="2.8515625" style="192" customWidth="1"/>
    <col min="9" max="9" width="25.140625" style="192" customWidth="1"/>
    <col min="10" max="10" width="7.57421875" style="192" customWidth="1"/>
    <col min="11" max="11" width="8.57421875" style="192" customWidth="1"/>
    <col min="12" max="12" width="20.7109375" style="192" customWidth="1"/>
    <col min="13" max="13" width="17.00390625" style="192" customWidth="1"/>
    <col min="14" max="14" width="5.57421875" style="192" customWidth="1"/>
    <col min="15" max="15" width="13.140625" style="192" customWidth="1"/>
    <col min="16" max="16384" width="9.140625" style="192" customWidth="1"/>
  </cols>
  <sheetData>
    <row r="1" spans="2:8" ht="82.5" customHeight="1" thickBot="1">
      <c r="B1" s="218" t="s">
        <v>1138</v>
      </c>
      <c r="H1" s="257" t="str">
        <f>"Version "&amp;version</f>
        <v>Version 4.2.3</v>
      </c>
    </row>
    <row r="2" spans="2:14" ht="18.75" customHeight="1">
      <c r="B2" s="215" t="s">
        <v>706</v>
      </c>
      <c r="C2" s="209"/>
      <c r="D2" s="209"/>
      <c r="E2" s="195"/>
      <c r="F2" s="193"/>
      <c r="G2" s="221"/>
      <c r="H2" s="222" t="s">
        <v>707</v>
      </c>
      <c r="I2" s="223"/>
      <c r="J2" s="223"/>
      <c r="K2" s="223"/>
      <c r="L2" s="223"/>
      <c r="M2" s="223"/>
      <c r="N2" s="224"/>
    </row>
    <row r="3" spans="2:14" ht="18.75" customHeight="1">
      <c r="B3" s="204" t="s">
        <v>696</v>
      </c>
      <c r="C3" s="532"/>
      <c r="D3" s="205"/>
      <c r="E3" s="198"/>
      <c r="F3" s="193"/>
      <c r="G3" s="225"/>
      <c r="H3" s="194" t="s">
        <v>708</v>
      </c>
      <c r="I3" s="194"/>
      <c r="J3" s="611"/>
      <c r="K3" s="611"/>
      <c r="L3" s="611"/>
      <c r="M3" s="611"/>
      <c r="N3" s="226"/>
    </row>
    <row r="4" spans="2:14" ht="18.75" customHeight="1">
      <c r="B4" s="214" t="s">
        <v>700</v>
      </c>
      <c r="C4" s="533"/>
      <c r="D4" s="237"/>
      <c r="E4" s="198"/>
      <c r="F4" s="193"/>
      <c r="G4" s="225"/>
      <c r="H4" s="194" t="s">
        <v>715</v>
      </c>
      <c r="I4" s="194"/>
      <c r="J4" s="193">
        <v>10</v>
      </c>
      <c r="K4" s="193"/>
      <c r="L4" s="193"/>
      <c r="M4" s="193"/>
      <c r="N4" s="226"/>
    </row>
    <row r="5" spans="2:14" ht="18.75" customHeight="1">
      <c r="B5" s="214" t="s">
        <v>979</v>
      </c>
      <c r="C5" s="534"/>
      <c r="D5" s="237"/>
      <c r="E5" s="198"/>
      <c r="F5" s="193"/>
      <c r="G5" s="225"/>
      <c r="H5" s="194" t="s">
        <v>707</v>
      </c>
      <c r="I5" s="194"/>
      <c r="J5" s="193">
        <v>1</v>
      </c>
      <c r="K5" s="193"/>
      <c r="L5" s="193"/>
      <c r="M5" s="193"/>
      <c r="N5" s="226"/>
    </row>
    <row r="6" spans="2:14" ht="18.75" customHeight="1">
      <c r="B6" s="214" t="s">
        <v>1046</v>
      </c>
      <c r="C6" s="597"/>
      <c r="D6" s="237"/>
      <c r="E6" s="198"/>
      <c r="F6" s="193"/>
      <c r="G6" s="225"/>
      <c r="H6" s="196" t="s">
        <v>718</v>
      </c>
      <c r="I6" s="196"/>
      <c r="J6" s="196"/>
      <c r="K6" s="196"/>
      <c r="L6" s="535"/>
      <c r="M6" s="193"/>
      <c r="N6" s="226"/>
    </row>
    <row r="7" spans="2:14" ht="18.75" customHeight="1">
      <c r="B7" s="214" t="s">
        <v>699</v>
      </c>
      <c r="C7" s="205"/>
      <c r="D7" s="565"/>
      <c r="E7" s="198"/>
      <c r="F7" s="193"/>
      <c r="G7" s="225"/>
      <c r="H7" s="196" t="s">
        <v>719</v>
      </c>
      <c r="I7" s="196"/>
      <c r="J7" s="196"/>
      <c r="K7" s="196"/>
      <c r="L7" s="535"/>
      <c r="M7" s="193"/>
      <c r="N7" s="226"/>
    </row>
    <row r="8" spans="2:14" ht="18.75" customHeight="1">
      <c r="B8" s="214" t="s">
        <v>1047</v>
      </c>
      <c r="C8" s="205"/>
      <c r="D8" s="598"/>
      <c r="E8" s="198"/>
      <c r="F8" s="193"/>
      <c r="G8" s="225"/>
      <c r="H8" s="227" t="s">
        <v>733</v>
      </c>
      <c r="I8" s="228"/>
      <c r="J8" s="193"/>
      <c r="K8" s="193"/>
      <c r="L8" s="193"/>
      <c r="M8" s="193"/>
      <c r="N8" s="226"/>
    </row>
    <row r="9" spans="2:14" ht="18.75" customHeight="1">
      <c r="B9" s="204" t="s">
        <v>1045</v>
      </c>
      <c r="C9" s="596"/>
      <c r="D9" s="599"/>
      <c r="E9" s="198"/>
      <c r="F9" s="193"/>
      <c r="G9" s="225"/>
      <c r="H9" s="194" t="s">
        <v>728</v>
      </c>
      <c r="I9" s="194"/>
      <c r="J9" s="193"/>
      <c r="K9" s="193"/>
      <c r="L9" s="212">
        <f>VLOOKUP(J4,FuelCalorific,8,FALSE)</f>
        <v>19734</v>
      </c>
      <c r="M9" s="229" t="s">
        <v>723</v>
      </c>
      <c r="N9" s="230"/>
    </row>
    <row r="10" spans="2:14" ht="18.75" customHeight="1">
      <c r="B10" s="214" t="s">
        <v>698</v>
      </c>
      <c r="C10" s="205"/>
      <c r="D10" s="564"/>
      <c r="E10" s="198"/>
      <c r="F10" s="193"/>
      <c r="G10" s="225"/>
      <c r="H10" s="194" t="s">
        <v>729</v>
      </c>
      <c r="I10" s="194"/>
      <c r="J10" s="193"/>
      <c r="K10" s="193"/>
      <c r="L10" s="212">
        <f>VLOOKUP(J4,FuelCalorific,10,FALSE)</f>
        <v>18414</v>
      </c>
      <c r="M10" s="229" t="s">
        <v>721</v>
      </c>
      <c r="N10" s="230"/>
    </row>
    <row r="11" spans="2:14" ht="18.75" customHeight="1">
      <c r="B11" s="214" t="s">
        <v>697</v>
      </c>
      <c r="C11" s="205"/>
      <c r="D11" s="564"/>
      <c r="E11" s="198"/>
      <c r="F11" s="193"/>
      <c r="G11" s="225"/>
      <c r="H11" s="193" t="s">
        <v>736</v>
      </c>
      <c r="I11" s="193"/>
      <c r="J11" s="193"/>
      <c r="K11" s="193"/>
      <c r="L11" s="395">
        <f>VLOOKUP(J4,FuelCalorific,11,FALSE)</f>
        <v>29500</v>
      </c>
      <c r="M11" s="229" t="s">
        <v>721</v>
      </c>
      <c r="N11" s="230"/>
    </row>
    <row r="12" spans="2:14" ht="18.75" customHeight="1">
      <c r="B12" s="214" t="s">
        <v>701</v>
      </c>
      <c r="C12" s="205"/>
      <c r="D12" s="564"/>
      <c r="E12" s="198"/>
      <c r="F12" s="193"/>
      <c r="G12" s="225"/>
      <c r="H12" s="193" t="s">
        <v>933</v>
      </c>
      <c r="I12" s="193"/>
      <c r="J12" s="193"/>
      <c r="K12" s="193"/>
      <c r="L12" s="397">
        <f>'Calorific values'!M8</f>
        <v>0.95</v>
      </c>
      <c r="M12" s="229" t="s">
        <v>817</v>
      </c>
      <c r="N12" s="226"/>
    </row>
    <row r="13" spans="2:14" ht="18.75" customHeight="1">
      <c r="B13" s="214"/>
      <c r="C13" s="205"/>
      <c r="D13" s="564"/>
      <c r="E13" s="198"/>
      <c r="F13" s="193"/>
      <c r="G13" s="225"/>
      <c r="N13" s="226"/>
    </row>
    <row r="14" spans="2:14" ht="18.75" customHeight="1" thickBot="1">
      <c r="B14" s="197"/>
      <c r="C14" s="205"/>
      <c r="D14" s="564"/>
      <c r="E14" s="198"/>
      <c r="F14" s="193"/>
      <c r="G14" s="225"/>
      <c r="H14" s="227" t="s">
        <v>731</v>
      </c>
      <c r="I14" s="228"/>
      <c r="J14" s="193"/>
      <c r="K14" s="193"/>
      <c r="L14" s="193"/>
      <c r="M14" s="193"/>
      <c r="N14" s="230"/>
    </row>
    <row r="15" spans="2:14" ht="18.75" customHeight="1" thickBot="1">
      <c r="B15" s="197"/>
      <c r="C15" s="566"/>
      <c r="D15" s="566"/>
      <c r="E15" s="198"/>
      <c r="F15" s="193"/>
      <c r="G15" s="225"/>
      <c r="H15" s="216"/>
      <c r="I15" s="193" t="s">
        <v>717</v>
      </c>
      <c r="J15" s="193"/>
      <c r="K15" s="193"/>
      <c r="L15" s="193"/>
      <c r="M15" s="229"/>
      <c r="N15" s="230"/>
    </row>
    <row r="16" spans="2:14" ht="18.75" customHeight="1">
      <c r="B16" s="197" t="s">
        <v>1018</v>
      </c>
      <c r="C16" s="564"/>
      <c r="D16" s="564"/>
      <c r="E16" s="198"/>
      <c r="F16" s="193"/>
      <c r="G16" s="225"/>
      <c r="H16" s="193"/>
      <c r="I16" s="193"/>
      <c r="J16" s="193"/>
      <c r="K16" s="193"/>
      <c r="L16" s="193"/>
      <c r="M16" s="229"/>
      <c r="N16" s="230"/>
    </row>
    <row r="17" spans="2:14" ht="18.75" customHeight="1">
      <c r="B17" s="197"/>
      <c r="C17" s="193"/>
      <c r="D17" s="193"/>
      <c r="E17" s="198"/>
      <c r="F17" s="193"/>
      <c r="G17" s="225"/>
      <c r="H17" s="193" t="s">
        <v>725</v>
      </c>
      <c r="I17" s="193"/>
      <c r="J17" s="193"/>
      <c r="K17" s="193"/>
      <c r="L17" s="211"/>
      <c r="M17" s="229" t="s">
        <v>730</v>
      </c>
      <c r="N17" s="230"/>
    </row>
    <row r="18" spans="2:14" ht="18.75" customHeight="1">
      <c r="B18" s="208" t="s">
        <v>705</v>
      </c>
      <c r="C18" s="468"/>
      <c r="D18" s="193"/>
      <c r="E18" s="198"/>
      <c r="F18" s="193"/>
      <c r="G18" s="225"/>
      <c r="H18" s="193" t="s">
        <v>734</v>
      </c>
      <c r="I18" s="193"/>
      <c r="J18" s="193"/>
      <c r="K18" s="193"/>
      <c r="L18" s="211"/>
      <c r="M18" s="229" t="s">
        <v>727</v>
      </c>
      <c r="N18" s="230"/>
    </row>
    <row r="19" spans="2:14" ht="18.75" customHeight="1">
      <c r="B19" s="214" t="s">
        <v>704</v>
      </c>
      <c r="C19" s="207"/>
      <c r="D19" s="193"/>
      <c r="E19" s="198"/>
      <c r="F19" s="193"/>
      <c r="G19" s="225"/>
      <c r="H19" s="193" t="s">
        <v>726</v>
      </c>
      <c r="I19" s="193"/>
      <c r="J19" s="193"/>
      <c r="K19" s="193"/>
      <c r="L19" s="193">
        <f>IF(ISBLANK(L18),MAX(L17-1320,0),L18)</f>
        <v>0</v>
      </c>
      <c r="M19" s="229" t="s">
        <v>727</v>
      </c>
      <c r="N19" s="230"/>
    </row>
    <row r="20" spans="2:14" ht="18.75" customHeight="1">
      <c r="B20" s="214" t="s">
        <v>703</v>
      </c>
      <c r="C20" s="207">
        <v>98</v>
      </c>
      <c r="D20" s="193"/>
      <c r="E20" s="226"/>
      <c r="F20" s="193"/>
      <c r="G20" s="225"/>
      <c r="H20" s="227" t="s">
        <v>732</v>
      </c>
      <c r="I20" s="228"/>
      <c r="J20" s="193"/>
      <c r="K20" s="193"/>
      <c r="L20" s="193"/>
      <c r="M20" s="193"/>
      <c r="N20" s="226"/>
    </row>
    <row r="21" spans="2:14" ht="18.75" customHeight="1">
      <c r="B21" s="619" t="s">
        <v>777</v>
      </c>
      <c r="C21" s="620"/>
      <c r="D21" s="620"/>
      <c r="E21" s="198"/>
      <c r="F21" s="193"/>
      <c r="G21" s="225"/>
      <c r="H21" s="194" t="s">
        <v>728</v>
      </c>
      <c r="I21" s="194"/>
      <c r="J21" s="193"/>
      <c r="K21" s="193"/>
      <c r="L21" s="396">
        <f>IF(ISBLANK(H15),L9,L17)</f>
        <v>19734</v>
      </c>
      <c r="M21" s="229" t="s">
        <v>723</v>
      </c>
      <c r="N21" s="230"/>
    </row>
    <row r="22" spans="2:14" ht="18.75" customHeight="1">
      <c r="B22" s="214" t="s">
        <v>829</v>
      </c>
      <c r="C22" s="302"/>
      <c r="D22" s="284"/>
      <c r="E22" s="198"/>
      <c r="F22" s="193"/>
      <c r="G22" s="225"/>
      <c r="H22" s="194" t="s">
        <v>729</v>
      </c>
      <c r="I22" s="194"/>
      <c r="J22" s="193"/>
      <c r="K22" s="193"/>
      <c r="L22" s="212">
        <f>IF(ISBLANK(H15),L10,L19)</f>
        <v>18414</v>
      </c>
      <c r="M22" s="229" t="s">
        <v>727</v>
      </c>
      <c r="N22" s="230"/>
    </row>
    <row r="23" spans="2:15" ht="18.75" customHeight="1">
      <c r="B23" s="214" t="s">
        <v>778</v>
      </c>
      <c r="C23" s="302"/>
      <c r="D23" s="193"/>
      <c r="E23" s="198"/>
      <c r="F23" s="193"/>
      <c r="G23" s="225"/>
      <c r="H23" s="193" t="s">
        <v>816</v>
      </c>
      <c r="I23" s="193"/>
      <c r="J23" s="193"/>
      <c r="K23" s="193"/>
      <c r="L23" s="295">
        <f>VLOOKUP(J4,FuelCalorific,12,FALSE)</f>
        <v>0.5</v>
      </c>
      <c r="M23" s="229" t="s">
        <v>817</v>
      </c>
      <c r="N23" s="226"/>
      <c r="O23" s="192">
        <f>fuelFracC</f>
        <v>0.5</v>
      </c>
    </row>
    <row r="24" spans="2:14" ht="18.75" customHeight="1">
      <c r="B24" s="214" t="s">
        <v>779</v>
      </c>
      <c r="C24" s="302"/>
      <c r="D24" s="284"/>
      <c r="E24" s="285"/>
      <c r="F24" s="193"/>
      <c r="G24" s="225"/>
      <c r="H24" s="231" t="s">
        <v>739</v>
      </c>
      <c r="I24" s="193"/>
      <c r="J24" s="193"/>
      <c r="K24" s="193"/>
      <c r="L24" s="193"/>
      <c r="M24" s="193"/>
      <c r="N24" s="226"/>
    </row>
    <row r="25" spans="2:14" ht="18.75" customHeight="1">
      <c r="B25" s="214"/>
      <c r="C25" s="469"/>
      <c r="D25" s="284"/>
      <c r="E25" s="285"/>
      <c r="F25" s="193"/>
      <c r="G25" s="225"/>
      <c r="H25" s="193" t="s">
        <v>746</v>
      </c>
      <c r="I25" s="193"/>
      <c r="J25" s="193"/>
      <c r="K25" s="193"/>
      <c r="L25" s="193"/>
      <c r="M25" s="193"/>
      <c r="N25" s="226"/>
    </row>
    <row r="26" spans="2:14" ht="18.75" customHeight="1">
      <c r="B26" s="283" t="s">
        <v>776</v>
      </c>
      <c r="C26" s="284"/>
      <c r="D26" s="284"/>
      <c r="E26" s="285"/>
      <c r="F26" s="193"/>
      <c r="G26" s="225"/>
      <c r="H26" s="611"/>
      <c r="I26" s="611"/>
      <c r="J26" s="611"/>
      <c r="K26" s="611"/>
      <c r="L26" s="611"/>
      <c r="M26" s="611"/>
      <c r="N26" s="226"/>
    </row>
    <row r="27" spans="1:15" s="202" customFormat="1" ht="18.75" customHeight="1">
      <c r="A27" s="192"/>
      <c r="B27" s="621"/>
      <c r="C27" s="611"/>
      <c r="D27" s="611"/>
      <c r="E27" s="198"/>
      <c r="F27" s="193"/>
      <c r="G27" s="225"/>
      <c r="H27" s="611"/>
      <c r="I27" s="611"/>
      <c r="J27" s="611"/>
      <c r="K27" s="611"/>
      <c r="L27" s="611"/>
      <c r="M27" s="611"/>
      <c r="N27" s="226"/>
      <c r="O27" s="192"/>
    </row>
    <row r="28" spans="2:54" ht="18.75" customHeight="1">
      <c r="B28" s="618"/>
      <c r="C28" s="612"/>
      <c r="D28" s="612"/>
      <c r="E28" s="198"/>
      <c r="F28" s="193"/>
      <c r="G28" s="232"/>
      <c r="H28" s="611"/>
      <c r="I28" s="611"/>
      <c r="J28" s="611"/>
      <c r="K28" s="611"/>
      <c r="L28" s="611"/>
      <c r="M28" s="611"/>
      <c r="N28" s="226"/>
      <c r="O28" s="220"/>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row>
    <row r="29" spans="2:54" ht="18.75" customHeight="1">
      <c r="B29" s="618"/>
      <c r="C29" s="612"/>
      <c r="D29" s="612"/>
      <c r="E29" s="198"/>
      <c r="F29" s="193"/>
      <c r="G29" s="232"/>
      <c r="H29" s="611"/>
      <c r="I29" s="611"/>
      <c r="J29" s="611"/>
      <c r="K29" s="611"/>
      <c r="L29" s="611"/>
      <c r="M29" s="611"/>
      <c r="N29" s="226"/>
      <c r="O29" s="220"/>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row>
    <row r="30" spans="2:54" ht="15" customHeight="1" thickBot="1">
      <c r="B30" s="199"/>
      <c r="C30" s="200"/>
      <c r="D30" s="200"/>
      <c r="E30" s="201"/>
      <c r="F30" s="193"/>
      <c r="G30" s="233"/>
      <c r="H30" s="234"/>
      <c r="I30" s="234"/>
      <c r="J30" s="235"/>
      <c r="K30" s="235"/>
      <c r="L30" s="234"/>
      <c r="M30" s="234"/>
      <c r="N30" s="236"/>
      <c r="O30" s="220"/>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row>
    <row r="31" spans="6:54" ht="12.75" customHeight="1" thickBot="1">
      <c r="F31" s="202"/>
      <c r="G31" s="220"/>
      <c r="H31" s="220"/>
      <c r="I31" s="220"/>
      <c r="J31" s="202"/>
      <c r="K31" s="202"/>
      <c r="L31" s="607"/>
      <c r="M31" s="607"/>
      <c r="N31" s="607"/>
      <c r="O31" s="607"/>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row>
    <row r="32" spans="2:54" ht="15" customHeight="1">
      <c r="B32" s="613" t="s">
        <v>742</v>
      </c>
      <c r="C32" s="614"/>
      <c r="D32" s="614"/>
      <c r="E32" s="238"/>
      <c r="F32" s="202"/>
      <c r="G32" s="613" t="s">
        <v>744</v>
      </c>
      <c r="H32" s="614"/>
      <c r="I32" s="614"/>
      <c r="J32" s="614"/>
      <c r="K32" s="614"/>
      <c r="L32" s="614"/>
      <c r="M32" s="614"/>
      <c r="N32" s="615"/>
      <c r="O32" s="220"/>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row>
    <row r="33" spans="2:54" ht="11.25" customHeight="1">
      <c r="B33" s="616" t="s">
        <v>738</v>
      </c>
      <c r="C33" s="611"/>
      <c r="D33" s="611"/>
      <c r="E33" s="239"/>
      <c r="F33" s="202"/>
      <c r="G33" s="616" t="s">
        <v>738</v>
      </c>
      <c r="H33" s="617"/>
      <c r="I33" s="617"/>
      <c r="J33" s="610"/>
      <c r="K33" s="610"/>
      <c r="L33" s="610"/>
      <c r="M33" s="610"/>
      <c r="N33" s="249"/>
      <c r="O33" s="203"/>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row>
    <row r="34" spans="2:54" ht="12.75" customHeight="1">
      <c r="B34" s="616"/>
      <c r="C34" s="612"/>
      <c r="D34" s="612"/>
      <c r="E34" s="239"/>
      <c r="F34" s="202"/>
      <c r="G34" s="616"/>
      <c r="H34" s="617"/>
      <c r="I34" s="617"/>
      <c r="J34" s="610"/>
      <c r="K34" s="610"/>
      <c r="L34" s="610"/>
      <c r="M34" s="610"/>
      <c r="N34" s="250"/>
      <c r="O34" s="220"/>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row>
    <row r="35" spans="2:54" ht="15" customHeight="1">
      <c r="B35" s="240"/>
      <c r="C35" s="612"/>
      <c r="D35" s="612"/>
      <c r="E35" s="239"/>
      <c r="F35" s="202"/>
      <c r="G35" s="247"/>
      <c r="H35" s="196"/>
      <c r="I35" s="196"/>
      <c r="J35" s="610"/>
      <c r="K35" s="610"/>
      <c r="L35" s="610"/>
      <c r="M35" s="610"/>
      <c r="N35" s="250"/>
      <c r="O35" s="220"/>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row>
    <row r="36" spans="2:54" ht="15" customHeight="1">
      <c r="B36" s="240"/>
      <c r="C36" s="205"/>
      <c r="D36" s="205"/>
      <c r="E36" s="239"/>
      <c r="F36" s="202"/>
      <c r="G36" s="240"/>
      <c r="H36" s="193"/>
      <c r="I36" s="193"/>
      <c r="J36" s="610"/>
      <c r="K36" s="610"/>
      <c r="L36" s="610"/>
      <c r="M36" s="610"/>
      <c r="N36" s="250"/>
      <c r="O36" s="220"/>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row>
    <row r="37" spans="2:54" ht="9" customHeight="1">
      <c r="B37" s="240"/>
      <c r="C37" s="241"/>
      <c r="D37" s="241"/>
      <c r="E37" s="239"/>
      <c r="F37" s="202"/>
      <c r="G37" s="240"/>
      <c r="H37" s="193"/>
      <c r="I37" s="193"/>
      <c r="J37" s="241"/>
      <c r="K37" s="241"/>
      <c r="L37" s="203"/>
      <c r="M37" s="203"/>
      <c r="N37" s="249"/>
      <c r="O37" s="203"/>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row>
    <row r="38" spans="2:54" ht="15" customHeight="1">
      <c r="B38" s="608" t="s">
        <v>740</v>
      </c>
      <c r="C38" s="205"/>
      <c r="D38" s="205"/>
      <c r="E38" s="239"/>
      <c r="F38" s="202"/>
      <c r="G38" s="608" t="s">
        <v>740</v>
      </c>
      <c r="H38" s="609"/>
      <c r="I38" s="609"/>
      <c r="J38" s="610"/>
      <c r="K38" s="610"/>
      <c r="L38" s="610"/>
      <c r="M38" s="610"/>
      <c r="N38" s="250"/>
      <c r="O38" s="220"/>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row>
    <row r="39" spans="2:54" ht="15" customHeight="1">
      <c r="B39" s="608"/>
      <c r="C39" s="205"/>
      <c r="D39" s="205"/>
      <c r="E39" s="239"/>
      <c r="F39" s="202"/>
      <c r="G39" s="608"/>
      <c r="H39" s="609"/>
      <c r="I39" s="609"/>
      <c r="J39" s="610"/>
      <c r="K39" s="610"/>
      <c r="L39" s="610"/>
      <c r="M39" s="610"/>
      <c r="N39" s="250"/>
      <c r="O39" s="220"/>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row>
    <row r="40" spans="2:54" ht="15" customHeight="1">
      <c r="B40" s="240"/>
      <c r="C40" s="205"/>
      <c r="D40" s="205"/>
      <c r="E40" s="239"/>
      <c r="F40" s="202"/>
      <c r="G40" s="240"/>
      <c r="H40" s="193"/>
      <c r="I40" s="193"/>
      <c r="J40" s="610"/>
      <c r="K40" s="610"/>
      <c r="L40" s="610"/>
      <c r="M40" s="610"/>
      <c r="N40" s="250"/>
      <c r="O40" s="220"/>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row>
    <row r="41" spans="2:54" ht="9" customHeight="1">
      <c r="B41" s="240"/>
      <c r="C41" s="241"/>
      <c r="D41" s="241"/>
      <c r="E41" s="239"/>
      <c r="F41" s="202"/>
      <c r="G41" s="240"/>
      <c r="H41" s="193"/>
      <c r="I41" s="193"/>
      <c r="J41" s="241"/>
      <c r="K41" s="241"/>
      <c r="L41" s="203"/>
      <c r="M41" s="203"/>
      <c r="N41" s="249"/>
      <c r="O41" s="203"/>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row>
    <row r="42" spans="2:54" ht="15.75" customHeight="1">
      <c r="B42" s="608" t="s">
        <v>741</v>
      </c>
      <c r="C42" s="205"/>
      <c r="D42" s="205"/>
      <c r="E42" s="239"/>
      <c r="F42" s="202"/>
      <c r="G42" s="608" t="s">
        <v>741</v>
      </c>
      <c r="H42" s="609"/>
      <c r="I42" s="609"/>
      <c r="J42" s="610"/>
      <c r="K42" s="610"/>
      <c r="L42" s="610"/>
      <c r="M42" s="610"/>
      <c r="N42" s="250"/>
      <c r="O42" s="220"/>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row>
    <row r="43" spans="2:54" ht="15.75" customHeight="1">
      <c r="B43" s="608"/>
      <c r="C43" s="205"/>
      <c r="D43" s="205"/>
      <c r="E43" s="239"/>
      <c r="F43" s="202"/>
      <c r="G43" s="608"/>
      <c r="H43" s="609"/>
      <c r="I43" s="609"/>
      <c r="J43" s="610"/>
      <c r="K43" s="610"/>
      <c r="L43" s="610"/>
      <c r="M43" s="610"/>
      <c r="N43" s="250"/>
      <c r="O43" s="220"/>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row>
    <row r="44" spans="2:54" ht="15.75" customHeight="1">
      <c r="B44" s="242"/>
      <c r="C44" s="205"/>
      <c r="D44" s="205"/>
      <c r="E44" s="239"/>
      <c r="F44" s="202"/>
      <c r="G44" s="242"/>
      <c r="H44" s="193"/>
      <c r="I44" s="193"/>
      <c r="J44" s="610"/>
      <c r="K44" s="610"/>
      <c r="L44" s="610"/>
      <c r="M44" s="610"/>
      <c r="N44" s="250"/>
      <c r="O44" s="220"/>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row>
    <row r="45" spans="2:54" ht="9" customHeight="1">
      <c r="B45" s="242"/>
      <c r="C45" s="206"/>
      <c r="D45" s="206"/>
      <c r="E45" s="243"/>
      <c r="F45" s="202"/>
      <c r="G45" s="242"/>
      <c r="H45" s="193"/>
      <c r="I45" s="193"/>
      <c r="J45" s="206"/>
      <c r="K45" s="206"/>
      <c r="L45" s="203"/>
      <c r="M45" s="203"/>
      <c r="N45" s="249"/>
      <c r="O45" s="203"/>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row>
    <row r="46" spans="2:54" ht="12.75" customHeight="1">
      <c r="B46" s="608" t="s">
        <v>743</v>
      </c>
      <c r="C46" s="205"/>
      <c r="D46" s="205"/>
      <c r="E46" s="239"/>
      <c r="F46" s="202"/>
      <c r="G46" s="608" t="s">
        <v>743</v>
      </c>
      <c r="H46" s="609"/>
      <c r="I46" s="609"/>
      <c r="J46" s="610"/>
      <c r="K46" s="610"/>
      <c r="L46" s="610"/>
      <c r="M46" s="610"/>
      <c r="N46" s="250"/>
      <c r="O46" s="220"/>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row>
    <row r="47" spans="2:54" ht="16.5" customHeight="1">
      <c r="B47" s="608"/>
      <c r="C47" s="237"/>
      <c r="D47" s="237"/>
      <c r="E47" s="239"/>
      <c r="F47" s="202"/>
      <c r="G47" s="608"/>
      <c r="H47" s="609"/>
      <c r="I47" s="609"/>
      <c r="J47" s="610"/>
      <c r="K47" s="610"/>
      <c r="L47" s="610"/>
      <c r="M47" s="610"/>
      <c r="N47" s="250"/>
      <c r="O47" s="220"/>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row>
    <row r="48" spans="2:54" ht="12.75" customHeight="1">
      <c r="B48" s="608"/>
      <c r="C48" s="237"/>
      <c r="D48" s="237"/>
      <c r="E48" s="239"/>
      <c r="F48" s="202"/>
      <c r="G48" s="608"/>
      <c r="H48" s="609"/>
      <c r="I48" s="609"/>
      <c r="J48" s="610"/>
      <c r="K48" s="610"/>
      <c r="L48" s="610"/>
      <c r="M48" s="610"/>
      <c r="N48" s="250"/>
      <c r="O48" s="220"/>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row>
    <row r="49" spans="2:54" ht="12.75" customHeight="1">
      <c r="B49" s="242"/>
      <c r="C49" s="206"/>
      <c r="D49" s="206"/>
      <c r="E49" s="239"/>
      <c r="F49" s="202"/>
      <c r="G49" s="242"/>
      <c r="H49" s="193"/>
      <c r="I49" s="193"/>
      <c r="J49" s="206"/>
      <c r="K49" s="206"/>
      <c r="L49" s="220"/>
      <c r="M49" s="220"/>
      <c r="N49" s="250"/>
      <c r="O49" s="220"/>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row>
    <row r="50" spans="2:54" ht="16.5" customHeight="1">
      <c r="B50" s="608" t="s">
        <v>745</v>
      </c>
      <c r="C50" s="205"/>
      <c r="D50" s="205"/>
      <c r="E50" s="239"/>
      <c r="F50" s="202"/>
      <c r="G50" s="608" t="s">
        <v>745</v>
      </c>
      <c r="H50" s="609"/>
      <c r="I50" s="609"/>
      <c r="J50" s="610"/>
      <c r="K50" s="610"/>
      <c r="L50" s="610"/>
      <c r="M50" s="610"/>
      <c r="N50" s="250"/>
      <c r="O50" s="220"/>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row>
    <row r="51" spans="2:54" ht="16.5" customHeight="1">
      <c r="B51" s="608"/>
      <c r="C51" s="205"/>
      <c r="D51" s="205"/>
      <c r="E51" s="239"/>
      <c r="F51" s="202"/>
      <c r="G51" s="608"/>
      <c r="H51" s="609"/>
      <c r="I51" s="609"/>
      <c r="J51" s="610"/>
      <c r="K51" s="610"/>
      <c r="L51" s="610"/>
      <c r="M51" s="610"/>
      <c r="N51" s="250"/>
      <c r="O51" s="220"/>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row>
    <row r="52" spans="2:54" ht="16.5" customHeight="1">
      <c r="B52" s="608"/>
      <c r="C52" s="205"/>
      <c r="D52" s="205"/>
      <c r="E52" s="239"/>
      <c r="F52" s="202"/>
      <c r="G52" s="608"/>
      <c r="H52" s="609"/>
      <c r="I52" s="609"/>
      <c r="J52" s="610"/>
      <c r="K52" s="610"/>
      <c r="L52" s="610"/>
      <c r="M52" s="610"/>
      <c r="N52" s="250"/>
      <c r="O52" s="220"/>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row>
    <row r="53" spans="2:54" ht="18" thickBot="1">
      <c r="B53" s="244"/>
      <c r="C53" s="245"/>
      <c r="D53" s="245"/>
      <c r="E53" s="246"/>
      <c r="F53" s="202"/>
      <c r="G53" s="244"/>
      <c r="H53" s="245"/>
      <c r="I53" s="245"/>
      <c r="J53" s="248"/>
      <c r="K53" s="235"/>
      <c r="L53" s="234"/>
      <c r="M53" s="234"/>
      <c r="N53" s="236"/>
      <c r="O53" s="220"/>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row>
    <row r="54" spans="2:54" ht="17.25">
      <c r="B54" s="202"/>
      <c r="C54" s="203"/>
      <c r="D54" s="203"/>
      <c r="E54" s="202"/>
      <c r="F54" s="202"/>
      <c r="G54" s="607"/>
      <c r="H54" s="607"/>
      <c r="I54" s="607"/>
      <c r="J54" s="202"/>
      <c r="K54" s="202"/>
      <c r="L54" s="607"/>
      <c r="M54" s="607"/>
      <c r="N54" s="607"/>
      <c r="O54" s="607"/>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row>
    <row r="55" spans="2:54" ht="17.25">
      <c r="B55" s="202"/>
      <c r="C55" s="203"/>
      <c r="D55" s="203"/>
      <c r="E55" s="202"/>
      <c r="F55" s="202"/>
      <c r="G55" s="607"/>
      <c r="H55" s="607"/>
      <c r="I55" s="607"/>
      <c r="J55" s="202"/>
      <c r="K55" s="202"/>
      <c r="L55" s="607"/>
      <c r="M55" s="607"/>
      <c r="N55" s="607"/>
      <c r="O55" s="607"/>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row>
    <row r="56" spans="2:54" ht="17.25">
      <c r="B56" s="202"/>
      <c r="C56" s="203"/>
      <c r="D56" s="203"/>
      <c r="E56" s="202"/>
      <c r="F56" s="202"/>
      <c r="G56" s="607"/>
      <c r="H56" s="607"/>
      <c r="I56" s="607"/>
      <c r="J56" s="202"/>
      <c r="K56" s="202"/>
      <c r="L56" s="607"/>
      <c r="M56" s="607"/>
      <c r="N56" s="607"/>
      <c r="O56" s="607"/>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row>
    <row r="57" spans="2:54" ht="17.25">
      <c r="B57" s="202"/>
      <c r="C57" s="607"/>
      <c r="D57" s="607"/>
      <c r="E57" s="202"/>
      <c r="F57" s="202"/>
      <c r="G57" s="607"/>
      <c r="H57" s="607"/>
      <c r="I57" s="607"/>
      <c r="J57" s="202"/>
      <c r="K57" s="202"/>
      <c r="L57" s="607"/>
      <c r="M57" s="607"/>
      <c r="N57" s="607"/>
      <c r="O57" s="607"/>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row>
    <row r="58" spans="2:54" ht="17.25">
      <c r="B58" s="202"/>
      <c r="C58" s="607"/>
      <c r="D58" s="607"/>
      <c r="E58" s="202"/>
      <c r="F58" s="202"/>
      <c r="G58" s="607"/>
      <c r="H58" s="607"/>
      <c r="I58" s="607"/>
      <c r="J58" s="202"/>
      <c r="K58" s="202"/>
      <c r="L58" s="607"/>
      <c r="M58" s="607"/>
      <c r="N58" s="607"/>
      <c r="O58" s="607"/>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row>
    <row r="59" spans="2:54" ht="17.25">
      <c r="B59" s="202"/>
      <c r="C59" s="607"/>
      <c r="D59" s="607"/>
      <c r="E59" s="202"/>
      <c r="F59" s="202"/>
      <c r="G59" s="607"/>
      <c r="H59" s="607"/>
      <c r="I59" s="607"/>
      <c r="J59" s="202"/>
      <c r="K59" s="202"/>
      <c r="L59" s="607"/>
      <c r="M59" s="607"/>
      <c r="N59" s="607"/>
      <c r="O59" s="607"/>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row>
    <row r="60" spans="2:54" ht="17.25">
      <c r="B60" s="202"/>
      <c r="C60" s="607"/>
      <c r="D60" s="607"/>
      <c r="E60" s="202"/>
      <c r="F60" s="202"/>
      <c r="G60" s="607"/>
      <c r="H60" s="607"/>
      <c r="I60" s="607"/>
      <c r="J60" s="202"/>
      <c r="K60" s="202"/>
      <c r="L60" s="607"/>
      <c r="M60" s="607"/>
      <c r="N60" s="607"/>
      <c r="O60" s="607"/>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row>
    <row r="61" spans="2:54" ht="17.25">
      <c r="B61" s="202"/>
      <c r="C61" s="607"/>
      <c r="D61" s="607"/>
      <c r="E61" s="202"/>
      <c r="F61" s="202"/>
      <c r="G61" s="607"/>
      <c r="H61" s="607"/>
      <c r="I61" s="607"/>
      <c r="J61" s="202"/>
      <c r="K61" s="202"/>
      <c r="L61" s="607"/>
      <c r="M61" s="607"/>
      <c r="N61" s="607"/>
      <c r="O61" s="607"/>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row>
    <row r="62" spans="2:54" ht="17.25">
      <c r="B62" s="202"/>
      <c r="C62" s="607"/>
      <c r="D62" s="607"/>
      <c r="E62" s="202"/>
      <c r="F62" s="202"/>
      <c r="G62" s="607"/>
      <c r="H62" s="607"/>
      <c r="I62" s="607"/>
      <c r="J62" s="202"/>
      <c r="K62" s="202"/>
      <c r="L62" s="607"/>
      <c r="M62" s="607"/>
      <c r="N62" s="607"/>
      <c r="O62" s="607"/>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row>
    <row r="63" spans="2:54" ht="17.25">
      <c r="B63" s="202"/>
      <c r="C63" s="607"/>
      <c r="D63" s="607"/>
      <c r="E63" s="202"/>
      <c r="F63" s="202"/>
      <c r="G63" s="607"/>
      <c r="H63" s="607"/>
      <c r="I63" s="607"/>
      <c r="J63" s="202"/>
      <c r="K63" s="202"/>
      <c r="L63" s="607"/>
      <c r="M63" s="607"/>
      <c r="N63" s="607"/>
      <c r="O63" s="607"/>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row>
    <row r="64" spans="2:54" ht="17.25">
      <c r="B64" s="202"/>
      <c r="C64" s="607"/>
      <c r="D64" s="607"/>
      <c r="E64" s="202"/>
      <c r="F64" s="202"/>
      <c r="G64" s="607"/>
      <c r="H64" s="607"/>
      <c r="I64" s="607"/>
      <c r="J64" s="202"/>
      <c r="K64" s="202"/>
      <c r="L64" s="607"/>
      <c r="M64" s="607"/>
      <c r="N64" s="607"/>
      <c r="O64" s="607"/>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row>
    <row r="65" spans="2:54" ht="17.25">
      <c r="B65" s="202"/>
      <c r="C65" s="607"/>
      <c r="D65" s="607"/>
      <c r="E65" s="202"/>
      <c r="F65" s="202"/>
      <c r="G65" s="607"/>
      <c r="H65" s="607"/>
      <c r="I65" s="607"/>
      <c r="J65" s="202"/>
      <c r="K65" s="202"/>
      <c r="L65" s="607"/>
      <c r="M65" s="607"/>
      <c r="N65" s="607"/>
      <c r="O65" s="607"/>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row>
    <row r="66" spans="2:54" ht="17.25">
      <c r="B66" s="202"/>
      <c r="C66" s="607"/>
      <c r="D66" s="607"/>
      <c r="E66" s="202"/>
      <c r="F66" s="202"/>
      <c r="G66" s="607"/>
      <c r="H66" s="607"/>
      <c r="I66" s="607"/>
      <c r="J66" s="202"/>
      <c r="K66" s="202"/>
      <c r="L66" s="607"/>
      <c r="M66" s="607"/>
      <c r="N66" s="607"/>
      <c r="O66" s="607"/>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row>
    <row r="67" spans="2:54" ht="17.25">
      <c r="B67" s="202"/>
      <c r="C67" s="607"/>
      <c r="D67" s="607"/>
      <c r="E67" s="202"/>
      <c r="F67" s="202"/>
      <c r="G67" s="607"/>
      <c r="H67" s="607"/>
      <c r="I67" s="607"/>
      <c r="J67" s="202"/>
      <c r="K67" s="202"/>
      <c r="L67" s="607"/>
      <c r="M67" s="607"/>
      <c r="N67" s="607"/>
      <c r="O67" s="607"/>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row>
    <row r="68" spans="2:54" ht="17.25">
      <c r="B68" s="202"/>
      <c r="C68" s="607"/>
      <c r="D68" s="607"/>
      <c r="E68" s="202"/>
      <c r="F68" s="202"/>
      <c r="G68" s="607"/>
      <c r="H68" s="607"/>
      <c r="I68" s="607"/>
      <c r="J68" s="202"/>
      <c r="K68" s="202"/>
      <c r="L68" s="607"/>
      <c r="M68" s="607"/>
      <c r="N68" s="607"/>
      <c r="O68" s="607"/>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row>
    <row r="69" spans="2:54" ht="17.25">
      <c r="B69" s="202"/>
      <c r="C69" s="607"/>
      <c r="D69" s="607"/>
      <c r="E69" s="202"/>
      <c r="F69" s="202"/>
      <c r="G69" s="607"/>
      <c r="H69" s="607"/>
      <c r="I69" s="607"/>
      <c r="J69" s="202"/>
      <c r="K69" s="202"/>
      <c r="L69" s="607"/>
      <c r="M69" s="607"/>
      <c r="N69" s="607"/>
      <c r="O69" s="607"/>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row>
    <row r="70" spans="2:54" ht="17.25">
      <c r="B70" s="202"/>
      <c r="C70" s="607"/>
      <c r="D70" s="607"/>
      <c r="E70" s="202"/>
      <c r="F70" s="202"/>
      <c r="G70" s="607"/>
      <c r="H70" s="607"/>
      <c r="I70" s="607"/>
      <c r="J70" s="202"/>
      <c r="K70" s="202"/>
      <c r="L70" s="607"/>
      <c r="M70" s="607"/>
      <c r="N70" s="607"/>
      <c r="O70" s="607"/>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row>
    <row r="71" spans="2:54" ht="17.25">
      <c r="B71" s="202"/>
      <c r="C71" s="607"/>
      <c r="D71" s="607"/>
      <c r="E71" s="202"/>
      <c r="F71" s="202"/>
      <c r="G71" s="607"/>
      <c r="H71" s="607"/>
      <c r="I71" s="607"/>
      <c r="J71" s="202"/>
      <c r="K71" s="202"/>
      <c r="L71" s="607"/>
      <c r="M71" s="607"/>
      <c r="N71" s="607"/>
      <c r="O71" s="607"/>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row>
    <row r="72" spans="2:54" ht="17.25">
      <c r="B72" s="202"/>
      <c r="C72" s="607"/>
      <c r="D72" s="607"/>
      <c r="E72" s="202"/>
      <c r="F72" s="202"/>
      <c r="G72" s="607"/>
      <c r="H72" s="607"/>
      <c r="I72" s="607"/>
      <c r="J72" s="202"/>
      <c r="K72" s="202"/>
      <c r="L72" s="607"/>
      <c r="M72" s="607"/>
      <c r="N72" s="607"/>
      <c r="O72" s="607"/>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row>
    <row r="73" spans="2:54" ht="17.25">
      <c r="B73" s="202"/>
      <c r="C73" s="607"/>
      <c r="D73" s="607"/>
      <c r="E73" s="202"/>
      <c r="F73" s="202"/>
      <c r="G73" s="607"/>
      <c r="H73" s="607"/>
      <c r="I73" s="607"/>
      <c r="J73" s="202"/>
      <c r="K73" s="202"/>
      <c r="L73" s="607"/>
      <c r="M73" s="607"/>
      <c r="N73" s="607"/>
      <c r="O73" s="607"/>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row>
    <row r="74" spans="2:54" ht="17.25">
      <c r="B74" s="202"/>
      <c r="C74" s="607"/>
      <c r="D74" s="607"/>
      <c r="E74" s="202"/>
      <c r="F74" s="202"/>
      <c r="G74" s="607"/>
      <c r="H74" s="607"/>
      <c r="I74" s="607"/>
      <c r="J74" s="202"/>
      <c r="K74" s="202"/>
      <c r="L74" s="607"/>
      <c r="M74" s="607"/>
      <c r="N74" s="607"/>
      <c r="O74" s="607"/>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row>
    <row r="75" spans="2:54" ht="17.25">
      <c r="B75" s="202"/>
      <c r="C75" s="607"/>
      <c r="D75" s="607"/>
      <c r="E75" s="202"/>
      <c r="F75" s="202"/>
      <c r="G75" s="607"/>
      <c r="H75" s="607"/>
      <c r="I75" s="607"/>
      <c r="J75" s="202"/>
      <c r="K75" s="202"/>
      <c r="L75" s="607"/>
      <c r="M75" s="607"/>
      <c r="N75" s="607"/>
      <c r="O75" s="607"/>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row>
    <row r="76" spans="2:54" ht="17.25">
      <c r="B76" s="202"/>
      <c r="C76" s="607"/>
      <c r="D76" s="607"/>
      <c r="E76" s="202"/>
      <c r="F76" s="202"/>
      <c r="G76" s="607"/>
      <c r="H76" s="607"/>
      <c r="I76" s="607"/>
      <c r="J76" s="202"/>
      <c r="K76" s="202"/>
      <c r="L76" s="607"/>
      <c r="M76" s="607"/>
      <c r="N76" s="607"/>
      <c r="O76" s="607"/>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row>
    <row r="77" spans="2:54" ht="17.25">
      <c r="B77" s="202"/>
      <c r="C77" s="607"/>
      <c r="D77" s="607"/>
      <c r="E77" s="202"/>
      <c r="F77" s="202"/>
      <c r="G77" s="607"/>
      <c r="H77" s="607"/>
      <c r="I77" s="607"/>
      <c r="J77" s="202"/>
      <c r="K77" s="202"/>
      <c r="L77" s="607"/>
      <c r="M77" s="607"/>
      <c r="N77" s="607"/>
      <c r="O77" s="607"/>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row>
    <row r="78" spans="2:54" ht="17.25">
      <c r="B78" s="202"/>
      <c r="C78" s="607"/>
      <c r="D78" s="607"/>
      <c r="E78" s="202"/>
      <c r="F78" s="202"/>
      <c r="G78" s="607"/>
      <c r="H78" s="607"/>
      <c r="I78" s="607"/>
      <c r="J78" s="202"/>
      <c r="K78" s="202"/>
      <c r="L78" s="607"/>
      <c r="M78" s="607"/>
      <c r="N78" s="607"/>
      <c r="O78" s="607"/>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row>
    <row r="79" spans="2:54" ht="17.25">
      <c r="B79" s="202"/>
      <c r="C79" s="607"/>
      <c r="D79" s="607"/>
      <c r="E79" s="202"/>
      <c r="F79" s="202"/>
      <c r="G79" s="607"/>
      <c r="H79" s="607"/>
      <c r="I79" s="607"/>
      <c r="J79" s="202"/>
      <c r="K79" s="202"/>
      <c r="L79" s="607"/>
      <c r="M79" s="607"/>
      <c r="N79" s="607"/>
      <c r="O79" s="607"/>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row>
    <row r="80" spans="2:54" ht="17.25">
      <c r="B80" s="202"/>
      <c r="C80" s="607"/>
      <c r="D80" s="607"/>
      <c r="E80" s="202"/>
      <c r="F80" s="202"/>
      <c r="G80" s="607"/>
      <c r="H80" s="607"/>
      <c r="I80" s="607"/>
      <c r="J80" s="202"/>
      <c r="K80" s="202"/>
      <c r="L80" s="607"/>
      <c r="M80" s="607"/>
      <c r="N80" s="607"/>
      <c r="O80" s="607"/>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row>
    <row r="81" spans="2:54" ht="17.25">
      <c r="B81" s="202"/>
      <c r="C81" s="607"/>
      <c r="D81" s="607"/>
      <c r="E81" s="202"/>
      <c r="F81" s="202"/>
      <c r="G81" s="607"/>
      <c r="H81" s="607"/>
      <c r="I81" s="607"/>
      <c r="J81" s="202"/>
      <c r="K81" s="202"/>
      <c r="L81" s="607"/>
      <c r="M81" s="607"/>
      <c r="N81" s="607"/>
      <c r="O81" s="607"/>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row>
    <row r="82" spans="2:54" ht="17.25">
      <c r="B82" s="202"/>
      <c r="C82" s="607"/>
      <c r="D82" s="607"/>
      <c r="E82" s="202"/>
      <c r="F82" s="202"/>
      <c r="G82" s="607"/>
      <c r="H82" s="607"/>
      <c r="I82" s="607"/>
      <c r="J82" s="202"/>
      <c r="K82" s="202"/>
      <c r="L82" s="607"/>
      <c r="M82" s="607"/>
      <c r="N82" s="607"/>
      <c r="O82" s="607"/>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row>
    <row r="83" spans="2:54" ht="17.25">
      <c r="B83" s="202"/>
      <c r="C83" s="607"/>
      <c r="D83" s="607"/>
      <c r="E83" s="202"/>
      <c r="F83" s="202"/>
      <c r="G83" s="607"/>
      <c r="H83" s="607"/>
      <c r="I83" s="607"/>
      <c r="J83" s="202"/>
      <c r="K83" s="202"/>
      <c r="L83" s="607"/>
      <c r="M83" s="607"/>
      <c r="N83" s="607"/>
      <c r="O83" s="607"/>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row>
    <row r="84" spans="2:54" ht="17.25">
      <c r="B84" s="202"/>
      <c r="C84" s="607"/>
      <c r="D84" s="607"/>
      <c r="E84" s="202"/>
      <c r="F84" s="202"/>
      <c r="G84" s="607"/>
      <c r="H84" s="607"/>
      <c r="I84" s="607"/>
      <c r="J84" s="202"/>
      <c r="K84" s="202"/>
      <c r="L84" s="607"/>
      <c r="M84" s="607"/>
      <c r="N84" s="607"/>
      <c r="O84" s="607"/>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row>
    <row r="85" spans="2:54" ht="17.25">
      <c r="B85" s="202"/>
      <c r="C85" s="607"/>
      <c r="D85" s="607"/>
      <c r="E85" s="202"/>
      <c r="F85" s="202"/>
      <c r="G85" s="607"/>
      <c r="H85" s="607"/>
      <c r="I85" s="607"/>
      <c r="J85" s="202"/>
      <c r="K85" s="202"/>
      <c r="L85" s="607"/>
      <c r="M85" s="607"/>
      <c r="N85" s="607"/>
      <c r="O85" s="607"/>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row>
    <row r="86" spans="2:54" ht="17.25">
      <c r="B86" s="202"/>
      <c r="C86" s="607"/>
      <c r="D86" s="607"/>
      <c r="E86" s="202"/>
      <c r="F86" s="202"/>
      <c r="G86" s="607"/>
      <c r="H86" s="607"/>
      <c r="I86" s="607"/>
      <c r="J86" s="202"/>
      <c r="K86" s="202"/>
      <c r="L86" s="607"/>
      <c r="M86" s="607"/>
      <c r="N86" s="607"/>
      <c r="O86" s="607"/>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row>
    <row r="87" spans="2:54" ht="17.25">
      <c r="B87" s="202"/>
      <c r="C87" s="607"/>
      <c r="D87" s="607"/>
      <c r="E87" s="202"/>
      <c r="F87" s="202"/>
      <c r="G87" s="607"/>
      <c r="H87" s="607"/>
      <c r="I87" s="607"/>
      <c r="J87" s="202"/>
      <c r="K87" s="202"/>
      <c r="L87" s="607"/>
      <c r="M87" s="607"/>
      <c r="N87" s="607"/>
      <c r="O87" s="607"/>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row>
    <row r="88" spans="2:54" ht="17.25">
      <c r="B88" s="202"/>
      <c r="C88" s="607"/>
      <c r="D88" s="607"/>
      <c r="E88" s="202"/>
      <c r="F88" s="202"/>
      <c r="G88" s="607"/>
      <c r="H88" s="607"/>
      <c r="I88" s="607"/>
      <c r="J88" s="202"/>
      <c r="K88" s="202"/>
      <c r="L88" s="607"/>
      <c r="M88" s="607"/>
      <c r="N88" s="607"/>
      <c r="O88" s="607"/>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row>
    <row r="89" spans="2:54" ht="17.25">
      <c r="B89" s="202"/>
      <c r="C89" s="607"/>
      <c r="D89" s="607"/>
      <c r="E89" s="202"/>
      <c r="F89" s="202"/>
      <c r="G89" s="607"/>
      <c r="H89" s="607"/>
      <c r="I89" s="607"/>
      <c r="J89" s="202"/>
      <c r="K89" s="202"/>
      <c r="L89" s="607"/>
      <c r="M89" s="607"/>
      <c r="N89" s="607"/>
      <c r="O89" s="607"/>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row>
    <row r="90" spans="2:54" ht="17.25">
      <c r="B90" s="202"/>
      <c r="C90" s="607"/>
      <c r="D90" s="607"/>
      <c r="E90" s="202"/>
      <c r="F90" s="202"/>
      <c r="G90" s="607"/>
      <c r="H90" s="607"/>
      <c r="I90" s="607"/>
      <c r="J90" s="202"/>
      <c r="K90" s="202"/>
      <c r="L90" s="607"/>
      <c r="M90" s="607"/>
      <c r="N90" s="607"/>
      <c r="O90" s="607"/>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c r="AZ90" s="202"/>
      <c r="BA90" s="202"/>
      <c r="BB90" s="202"/>
    </row>
    <row r="91" spans="2:54" ht="17.25">
      <c r="B91" s="202"/>
      <c r="C91" s="607"/>
      <c r="D91" s="607"/>
      <c r="E91" s="202"/>
      <c r="F91" s="202"/>
      <c r="G91" s="607"/>
      <c r="H91" s="607"/>
      <c r="I91" s="607"/>
      <c r="J91" s="202"/>
      <c r="K91" s="202"/>
      <c r="L91" s="607"/>
      <c r="M91" s="607"/>
      <c r="N91" s="607"/>
      <c r="O91" s="607"/>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c r="AZ91" s="202"/>
      <c r="BA91" s="202"/>
      <c r="BB91" s="202"/>
    </row>
    <row r="92" spans="2:54" ht="17.25">
      <c r="B92" s="202"/>
      <c r="C92" s="607"/>
      <c r="D92" s="607"/>
      <c r="E92" s="202"/>
      <c r="F92" s="202"/>
      <c r="G92" s="607"/>
      <c r="H92" s="607"/>
      <c r="I92" s="607"/>
      <c r="J92" s="202"/>
      <c r="K92" s="202"/>
      <c r="L92" s="607"/>
      <c r="M92" s="607"/>
      <c r="N92" s="607"/>
      <c r="O92" s="607"/>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c r="AZ92" s="202"/>
      <c r="BA92" s="202"/>
      <c r="BB92" s="202"/>
    </row>
    <row r="93" spans="2:54" ht="17.25">
      <c r="B93" s="202"/>
      <c r="C93" s="607"/>
      <c r="D93" s="607"/>
      <c r="E93" s="202"/>
      <c r="F93" s="202"/>
      <c r="G93" s="607"/>
      <c r="H93" s="607"/>
      <c r="I93" s="607"/>
      <c r="J93" s="202"/>
      <c r="K93" s="202"/>
      <c r="L93" s="607"/>
      <c r="M93" s="607"/>
      <c r="N93" s="607"/>
      <c r="O93" s="607"/>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c r="AZ93" s="202"/>
      <c r="BA93" s="202"/>
      <c r="BB93" s="202"/>
    </row>
    <row r="94" spans="2:54" ht="17.25">
      <c r="B94" s="202"/>
      <c r="C94" s="607"/>
      <c r="D94" s="607"/>
      <c r="E94" s="202"/>
      <c r="F94" s="202"/>
      <c r="G94" s="607"/>
      <c r="H94" s="607"/>
      <c r="I94" s="607"/>
      <c r="J94" s="202"/>
      <c r="K94" s="202"/>
      <c r="L94" s="607"/>
      <c r="M94" s="607"/>
      <c r="N94" s="607"/>
      <c r="O94" s="607"/>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c r="AZ94" s="202"/>
      <c r="BA94" s="202"/>
      <c r="BB94" s="202"/>
    </row>
    <row r="95" spans="2:54" ht="17.25">
      <c r="B95" s="202"/>
      <c r="C95" s="607"/>
      <c r="D95" s="607"/>
      <c r="E95" s="202"/>
      <c r="F95" s="202"/>
      <c r="G95" s="607"/>
      <c r="H95" s="607"/>
      <c r="I95" s="607"/>
      <c r="J95" s="202"/>
      <c r="K95" s="202"/>
      <c r="L95" s="607"/>
      <c r="M95" s="607"/>
      <c r="N95" s="607"/>
      <c r="O95" s="607"/>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row>
    <row r="96" spans="2:54" ht="17.25">
      <c r="B96" s="202"/>
      <c r="C96" s="607"/>
      <c r="D96" s="607"/>
      <c r="E96" s="202"/>
      <c r="F96" s="202"/>
      <c r="G96" s="607"/>
      <c r="H96" s="607"/>
      <c r="I96" s="607"/>
      <c r="J96" s="202"/>
      <c r="K96" s="202"/>
      <c r="L96" s="607"/>
      <c r="M96" s="607"/>
      <c r="N96" s="607"/>
      <c r="O96" s="607"/>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row>
    <row r="97" spans="2:54" ht="17.25">
      <c r="B97" s="202"/>
      <c r="C97" s="607"/>
      <c r="D97" s="607"/>
      <c r="E97" s="202"/>
      <c r="F97" s="202"/>
      <c r="G97" s="607"/>
      <c r="H97" s="607"/>
      <c r="I97" s="607"/>
      <c r="J97" s="202"/>
      <c r="K97" s="202"/>
      <c r="L97" s="607"/>
      <c r="M97" s="607"/>
      <c r="N97" s="607"/>
      <c r="O97" s="607"/>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row>
    <row r="98" spans="2:54" ht="17.25">
      <c r="B98" s="202"/>
      <c r="C98" s="607"/>
      <c r="D98" s="607"/>
      <c r="E98" s="202"/>
      <c r="F98" s="202"/>
      <c r="G98" s="607"/>
      <c r="H98" s="607"/>
      <c r="I98" s="607"/>
      <c r="J98" s="202"/>
      <c r="K98" s="202"/>
      <c r="L98" s="607"/>
      <c r="M98" s="607"/>
      <c r="N98" s="607"/>
      <c r="O98" s="607"/>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c r="AZ98" s="202"/>
      <c r="BA98" s="202"/>
      <c r="BB98" s="202"/>
    </row>
    <row r="99" spans="2:54" ht="17.25">
      <c r="B99" s="202"/>
      <c r="C99" s="607"/>
      <c r="D99" s="607"/>
      <c r="E99" s="202"/>
      <c r="F99" s="202"/>
      <c r="G99" s="607"/>
      <c r="H99" s="607"/>
      <c r="I99" s="607"/>
      <c r="J99" s="202"/>
      <c r="K99" s="202"/>
      <c r="L99" s="607"/>
      <c r="M99" s="607"/>
      <c r="N99" s="607"/>
      <c r="O99" s="607"/>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202"/>
      <c r="AZ99" s="202"/>
      <c r="BA99" s="202"/>
      <c r="BB99" s="202"/>
    </row>
    <row r="100" spans="2:54" ht="17.25">
      <c r="B100" s="202"/>
      <c r="C100" s="607"/>
      <c r="D100" s="607"/>
      <c r="E100" s="202"/>
      <c r="F100" s="202"/>
      <c r="G100" s="607"/>
      <c r="H100" s="607"/>
      <c r="I100" s="607"/>
      <c r="J100" s="202"/>
      <c r="K100" s="202"/>
      <c r="L100" s="607"/>
      <c r="M100" s="607"/>
      <c r="N100" s="607"/>
      <c r="O100" s="607"/>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row>
    <row r="101" spans="2:54" ht="17.25">
      <c r="B101" s="202"/>
      <c r="C101" s="607"/>
      <c r="D101" s="607"/>
      <c r="E101" s="202"/>
      <c r="F101" s="202"/>
      <c r="G101" s="607"/>
      <c r="H101" s="607"/>
      <c r="I101" s="607"/>
      <c r="J101" s="202"/>
      <c r="K101" s="202"/>
      <c r="L101" s="607"/>
      <c r="M101" s="607"/>
      <c r="N101" s="607"/>
      <c r="O101" s="607"/>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row>
    <row r="102" spans="2:54" ht="17.25">
      <c r="B102" s="202"/>
      <c r="C102" s="607"/>
      <c r="D102" s="607"/>
      <c r="E102" s="202"/>
      <c r="F102" s="202"/>
      <c r="G102" s="607"/>
      <c r="H102" s="607"/>
      <c r="I102" s="607"/>
      <c r="J102" s="202"/>
      <c r="K102" s="202"/>
      <c r="L102" s="607"/>
      <c r="M102" s="607"/>
      <c r="N102" s="607"/>
      <c r="O102" s="607"/>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row>
    <row r="103" spans="2:54" ht="17.25">
      <c r="B103" s="202"/>
      <c r="C103" s="607"/>
      <c r="D103" s="607"/>
      <c r="E103" s="202"/>
      <c r="F103" s="202"/>
      <c r="G103" s="607"/>
      <c r="H103" s="607"/>
      <c r="I103" s="607"/>
      <c r="J103" s="202"/>
      <c r="K103" s="202"/>
      <c r="L103" s="607"/>
      <c r="M103" s="607"/>
      <c r="N103" s="607"/>
      <c r="O103" s="607"/>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row>
    <row r="104" spans="2:54" ht="17.25">
      <c r="B104" s="202"/>
      <c r="C104" s="607"/>
      <c r="D104" s="607"/>
      <c r="E104" s="202"/>
      <c r="F104" s="202"/>
      <c r="G104" s="607"/>
      <c r="H104" s="607"/>
      <c r="I104" s="607"/>
      <c r="J104" s="202"/>
      <c r="K104" s="202"/>
      <c r="L104" s="607"/>
      <c r="M104" s="607"/>
      <c r="N104" s="607"/>
      <c r="O104" s="607"/>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row>
    <row r="105" spans="2:54" ht="17.25">
      <c r="B105" s="202"/>
      <c r="C105" s="607"/>
      <c r="D105" s="607"/>
      <c r="E105" s="202"/>
      <c r="F105" s="202"/>
      <c r="G105" s="607"/>
      <c r="H105" s="607"/>
      <c r="I105" s="607"/>
      <c r="J105" s="202"/>
      <c r="K105" s="202"/>
      <c r="L105" s="607"/>
      <c r="M105" s="607"/>
      <c r="N105" s="607"/>
      <c r="O105" s="607"/>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row>
    <row r="106" spans="2:54" ht="17.25">
      <c r="B106" s="202"/>
      <c r="C106" s="607"/>
      <c r="D106" s="607"/>
      <c r="E106" s="202"/>
      <c r="F106" s="202"/>
      <c r="G106" s="607"/>
      <c r="H106" s="607"/>
      <c r="I106" s="607"/>
      <c r="J106" s="202"/>
      <c r="K106" s="202"/>
      <c r="L106" s="607"/>
      <c r="M106" s="607"/>
      <c r="N106" s="607"/>
      <c r="O106" s="607"/>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row>
    <row r="107" spans="2:54" ht="17.25">
      <c r="B107" s="202"/>
      <c r="C107" s="607"/>
      <c r="D107" s="607"/>
      <c r="E107" s="202"/>
      <c r="F107" s="202"/>
      <c r="G107" s="607"/>
      <c r="H107" s="607"/>
      <c r="I107" s="607"/>
      <c r="J107" s="202"/>
      <c r="K107" s="202"/>
      <c r="L107" s="607"/>
      <c r="M107" s="607"/>
      <c r="N107" s="607"/>
      <c r="O107" s="607"/>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row>
    <row r="108" spans="2:54" ht="17.25">
      <c r="B108" s="202"/>
      <c r="C108" s="607"/>
      <c r="D108" s="607"/>
      <c r="E108" s="202"/>
      <c r="F108" s="202"/>
      <c r="G108" s="607"/>
      <c r="H108" s="607"/>
      <c r="I108" s="607"/>
      <c r="J108" s="202"/>
      <c r="K108" s="202"/>
      <c r="L108" s="607"/>
      <c r="M108" s="607"/>
      <c r="N108" s="607"/>
      <c r="O108" s="607"/>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row>
    <row r="109" spans="2:54" ht="17.25">
      <c r="B109" s="202"/>
      <c r="C109" s="607"/>
      <c r="D109" s="607"/>
      <c r="E109" s="202"/>
      <c r="F109" s="202"/>
      <c r="G109" s="607"/>
      <c r="H109" s="607"/>
      <c r="I109" s="607"/>
      <c r="J109" s="202"/>
      <c r="K109" s="202"/>
      <c r="L109" s="607"/>
      <c r="M109" s="607"/>
      <c r="N109" s="607"/>
      <c r="O109" s="607"/>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row>
    <row r="110" spans="2:54" ht="17.25">
      <c r="B110" s="202"/>
      <c r="C110" s="607"/>
      <c r="D110" s="607"/>
      <c r="E110" s="202"/>
      <c r="F110" s="202"/>
      <c r="G110" s="607"/>
      <c r="H110" s="607"/>
      <c r="I110" s="607"/>
      <c r="J110" s="202"/>
      <c r="K110" s="202"/>
      <c r="L110" s="607"/>
      <c r="M110" s="607"/>
      <c r="N110" s="607"/>
      <c r="O110" s="607"/>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row>
    <row r="111" spans="2:54" ht="17.25">
      <c r="B111" s="202"/>
      <c r="C111" s="607"/>
      <c r="D111" s="607"/>
      <c r="E111" s="202"/>
      <c r="F111" s="202"/>
      <c r="G111" s="607"/>
      <c r="H111" s="607"/>
      <c r="I111" s="607"/>
      <c r="J111" s="202"/>
      <c r="K111" s="202"/>
      <c r="L111" s="607"/>
      <c r="M111" s="607"/>
      <c r="N111" s="607"/>
      <c r="O111" s="607"/>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row>
    <row r="112" spans="2:54" ht="17.25">
      <c r="B112" s="202"/>
      <c r="C112" s="607"/>
      <c r="D112" s="607"/>
      <c r="E112" s="202"/>
      <c r="F112" s="202"/>
      <c r="G112" s="607"/>
      <c r="H112" s="607"/>
      <c r="I112" s="607"/>
      <c r="J112" s="202"/>
      <c r="K112" s="202"/>
      <c r="L112" s="607"/>
      <c r="M112" s="607"/>
      <c r="N112" s="607"/>
      <c r="O112" s="607"/>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202"/>
      <c r="BA112" s="202"/>
      <c r="BB112" s="202"/>
    </row>
    <row r="113" spans="2:54" ht="17.25">
      <c r="B113" s="202"/>
      <c r="C113" s="607"/>
      <c r="D113" s="607"/>
      <c r="E113" s="202"/>
      <c r="F113" s="202"/>
      <c r="G113" s="607"/>
      <c r="H113" s="607"/>
      <c r="I113" s="607"/>
      <c r="J113" s="202"/>
      <c r="K113" s="202"/>
      <c r="L113" s="607"/>
      <c r="M113" s="607"/>
      <c r="N113" s="607"/>
      <c r="O113" s="607"/>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202"/>
      <c r="AZ113" s="202"/>
      <c r="BA113" s="202"/>
      <c r="BB113" s="202"/>
    </row>
    <row r="114" spans="2:54" ht="17.25">
      <c r="B114" s="202"/>
      <c r="C114" s="607"/>
      <c r="D114" s="607"/>
      <c r="E114" s="202"/>
      <c r="F114" s="202"/>
      <c r="G114" s="607"/>
      <c r="H114" s="607"/>
      <c r="I114" s="607"/>
      <c r="J114" s="202"/>
      <c r="K114" s="202"/>
      <c r="L114" s="607"/>
      <c r="M114" s="607"/>
      <c r="N114" s="607"/>
      <c r="O114" s="607"/>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row>
    <row r="115" spans="2:54" ht="17.25">
      <c r="B115" s="202"/>
      <c r="C115" s="607"/>
      <c r="D115" s="607"/>
      <c r="E115" s="202"/>
      <c r="F115" s="202"/>
      <c r="G115" s="607"/>
      <c r="H115" s="607"/>
      <c r="I115" s="607"/>
      <c r="J115" s="202"/>
      <c r="K115" s="202"/>
      <c r="L115" s="607"/>
      <c r="M115" s="607"/>
      <c r="N115" s="607"/>
      <c r="O115" s="607"/>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202"/>
      <c r="AZ115" s="202"/>
      <c r="BA115" s="202"/>
      <c r="BB115" s="202"/>
    </row>
    <row r="116" spans="2:54" ht="17.25">
      <c r="B116" s="202"/>
      <c r="C116" s="607"/>
      <c r="D116" s="607"/>
      <c r="E116" s="202"/>
      <c r="F116" s="202"/>
      <c r="G116" s="607"/>
      <c r="H116" s="607"/>
      <c r="I116" s="607"/>
      <c r="J116" s="202"/>
      <c r="K116" s="202"/>
      <c r="L116" s="607"/>
      <c r="M116" s="607"/>
      <c r="N116" s="607"/>
      <c r="O116" s="607"/>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row>
    <row r="117" spans="2:54" ht="17.25">
      <c r="B117" s="202"/>
      <c r="C117" s="607"/>
      <c r="D117" s="607"/>
      <c r="E117" s="202"/>
      <c r="F117" s="202"/>
      <c r="G117" s="607"/>
      <c r="H117" s="607"/>
      <c r="I117" s="607"/>
      <c r="J117" s="202"/>
      <c r="K117" s="202"/>
      <c r="L117" s="607"/>
      <c r="M117" s="607"/>
      <c r="N117" s="607"/>
      <c r="O117" s="607"/>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row>
    <row r="118" spans="2:54" ht="17.25">
      <c r="B118" s="202"/>
      <c r="C118" s="607"/>
      <c r="D118" s="607"/>
      <c r="E118" s="202"/>
      <c r="F118" s="202"/>
      <c r="G118" s="607"/>
      <c r="H118" s="607"/>
      <c r="I118" s="607"/>
      <c r="J118" s="202"/>
      <c r="K118" s="202"/>
      <c r="L118" s="607"/>
      <c r="M118" s="607"/>
      <c r="N118" s="607"/>
      <c r="O118" s="607"/>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row>
    <row r="119" spans="2:54" ht="17.25">
      <c r="B119" s="202"/>
      <c r="C119" s="607"/>
      <c r="D119" s="607"/>
      <c r="E119" s="202"/>
      <c r="F119" s="202"/>
      <c r="G119" s="607"/>
      <c r="H119" s="607"/>
      <c r="I119" s="607"/>
      <c r="J119" s="202"/>
      <c r="K119" s="202"/>
      <c r="L119" s="607"/>
      <c r="M119" s="607"/>
      <c r="N119" s="607"/>
      <c r="O119" s="607"/>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202"/>
      <c r="AZ119" s="202"/>
      <c r="BA119" s="202"/>
      <c r="BB119" s="202"/>
    </row>
    <row r="120" spans="7:15" ht="17.25">
      <c r="G120" s="607"/>
      <c r="H120" s="607"/>
      <c r="I120" s="607"/>
      <c r="J120" s="202"/>
      <c r="K120" s="202"/>
      <c r="L120" s="607"/>
      <c r="M120" s="607"/>
      <c r="N120" s="607"/>
      <c r="O120" s="607"/>
    </row>
  </sheetData>
  <sheetProtection/>
  <mergeCells count="246">
    <mergeCell ref="J3:M3"/>
    <mergeCell ref="H28:I28"/>
    <mergeCell ref="J28:K28"/>
    <mergeCell ref="L28:M28"/>
    <mergeCell ref="J26:K26"/>
    <mergeCell ref="L26:M26"/>
    <mergeCell ref="H26:I26"/>
    <mergeCell ref="L27:M27"/>
    <mergeCell ref="J27:K27"/>
    <mergeCell ref="C34:D34"/>
    <mergeCell ref="B28:D28"/>
    <mergeCell ref="B21:D21"/>
    <mergeCell ref="B27:D27"/>
    <mergeCell ref="B29:D29"/>
    <mergeCell ref="C33:D33"/>
    <mergeCell ref="B50:B52"/>
    <mergeCell ref="G50:I52"/>
    <mergeCell ref="G32:N32"/>
    <mergeCell ref="B32:D32"/>
    <mergeCell ref="B33:B34"/>
    <mergeCell ref="H27:I27"/>
    <mergeCell ref="J29:K29"/>
    <mergeCell ref="G33:I34"/>
    <mergeCell ref="J34:M34"/>
    <mergeCell ref="J51:M51"/>
    <mergeCell ref="J33:M33"/>
    <mergeCell ref="L31:O31"/>
    <mergeCell ref="L29:M29"/>
    <mergeCell ref="H29:I29"/>
    <mergeCell ref="B46:B48"/>
    <mergeCell ref="B42:B43"/>
    <mergeCell ref="J48:M48"/>
    <mergeCell ref="C35:D35"/>
    <mergeCell ref="J40:M40"/>
    <mergeCell ref="B38:B39"/>
    <mergeCell ref="J35:M35"/>
    <mergeCell ref="J47:M47"/>
    <mergeCell ref="J44:M44"/>
    <mergeCell ref="J46:M46"/>
    <mergeCell ref="G54:I54"/>
    <mergeCell ref="L54:O54"/>
    <mergeCell ref="J52:M52"/>
    <mergeCell ref="J36:M36"/>
    <mergeCell ref="J38:M38"/>
    <mergeCell ref="J42:M42"/>
    <mergeCell ref="G38:I39"/>
    <mergeCell ref="G42:I43"/>
    <mergeCell ref="J39:M39"/>
    <mergeCell ref="J50:M50"/>
    <mergeCell ref="J43:M43"/>
    <mergeCell ref="C57:D57"/>
    <mergeCell ref="G46:I48"/>
    <mergeCell ref="G58:I58"/>
    <mergeCell ref="L58:O58"/>
    <mergeCell ref="C58:D58"/>
    <mergeCell ref="G55:I55"/>
    <mergeCell ref="L55:O55"/>
    <mergeCell ref="G57:I57"/>
    <mergeCell ref="L57:O57"/>
    <mergeCell ref="G56:I56"/>
    <mergeCell ref="L56:O56"/>
    <mergeCell ref="C59:D59"/>
    <mergeCell ref="G60:I60"/>
    <mergeCell ref="L60:O60"/>
    <mergeCell ref="C60:D60"/>
    <mergeCell ref="G59:I59"/>
    <mergeCell ref="L59:O59"/>
    <mergeCell ref="C61:D61"/>
    <mergeCell ref="G62:I62"/>
    <mergeCell ref="L62:O62"/>
    <mergeCell ref="C62:D62"/>
    <mergeCell ref="G61:I61"/>
    <mergeCell ref="L61:O61"/>
    <mergeCell ref="C63:D63"/>
    <mergeCell ref="G64:I64"/>
    <mergeCell ref="L64:O64"/>
    <mergeCell ref="C64:D64"/>
    <mergeCell ref="G63:I63"/>
    <mergeCell ref="L63:O63"/>
    <mergeCell ref="C65:D65"/>
    <mergeCell ref="G66:I66"/>
    <mergeCell ref="L66:O66"/>
    <mergeCell ref="C66:D66"/>
    <mergeCell ref="G65:I65"/>
    <mergeCell ref="L65:O65"/>
    <mergeCell ref="C67:D67"/>
    <mergeCell ref="G68:I68"/>
    <mergeCell ref="L68:O68"/>
    <mergeCell ref="C68:D68"/>
    <mergeCell ref="G67:I67"/>
    <mergeCell ref="L67:O67"/>
    <mergeCell ref="C69:D69"/>
    <mergeCell ref="G70:I70"/>
    <mergeCell ref="L70:O70"/>
    <mergeCell ref="C70:D70"/>
    <mergeCell ref="G69:I69"/>
    <mergeCell ref="L69:O69"/>
    <mergeCell ref="C71:D71"/>
    <mergeCell ref="G72:I72"/>
    <mergeCell ref="L72:O72"/>
    <mergeCell ref="C72:D72"/>
    <mergeCell ref="G71:I71"/>
    <mergeCell ref="L71:O71"/>
    <mergeCell ref="C73:D73"/>
    <mergeCell ref="G74:I74"/>
    <mergeCell ref="L74:O74"/>
    <mergeCell ref="C74:D74"/>
    <mergeCell ref="G73:I73"/>
    <mergeCell ref="L73:O73"/>
    <mergeCell ref="C75:D75"/>
    <mergeCell ref="G76:I76"/>
    <mergeCell ref="L76:O76"/>
    <mergeCell ref="C76:D76"/>
    <mergeCell ref="G75:I75"/>
    <mergeCell ref="L75:O75"/>
    <mergeCell ref="C77:D77"/>
    <mergeCell ref="G78:I78"/>
    <mergeCell ref="L78:O78"/>
    <mergeCell ref="C78:D78"/>
    <mergeCell ref="G77:I77"/>
    <mergeCell ref="L77:O77"/>
    <mergeCell ref="C79:D79"/>
    <mergeCell ref="G80:I80"/>
    <mergeCell ref="L80:O80"/>
    <mergeCell ref="C80:D80"/>
    <mergeCell ref="G79:I79"/>
    <mergeCell ref="L79:O79"/>
    <mergeCell ref="C81:D81"/>
    <mergeCell ref="G82:I82"/>
    <mergeCell ref="L82:O82"/>
    <mergeCell ref="C82:D82"/>
    <mergeCell ref="G81:I81"/>
    <mergeCell ref="L81:O81"/>
    <mergeCell ref="C83:D83"/>
    <mergeCell ref="G84:I84"/>
    <mergeCell ref="L84:O84"/>
    <mergeCell ref="C84:D84"/>
    <mergeCell ref="G83:I83"/>
    <mergeCell ref="L83:O83"/>
    <mergeCell ref="C85:D85"/>
    <mergeCell ref="G86:I86"/>
    <mergeCell ref="L86:O86"/>
    <mergeCell ref="C86:D86"/>
    <mergeCell ref="G85:I85"/>
    <mergeCell ref="L85:O85"/>
    <mergeCell ref="C87:D87"/>
    <mergeCell ref="G88:I88"/>
    <mergeCell ref="L88:O88"/>
    <mergeCell ref="C88:D88"/>
    <mergeCell ref="G87:I87"/>
    <mergeCell ref="L87:O87"/>
    <mergeCell ref="C89:D89"/>
    <mergeCell ref="G90:I90"/>
    <mergeCell ref="L90:O90"/>
    <mergeCell ref="C90:D90"/>
    <mergeCell ref="G89:I89"/>
    <mergeCell ref="L89:O89"/>
    <mergeCell ref="C91:D91"/>
    <mergeCell ref="G92:I92"/>
    <mergeCell ref="L92:O92"/>
    <mergeCell ref="C92:D92"/>
    <mergeCell ref="G91:I91"/>
    <mergeCell ref="L91:O91"/>
    <mergeCell ref="C93:D93"/>
    <mergeCell ref="G94:I94"/>
    <mergeCell ref="L94:O94"/>
    <mergeCell ref="C94:D94"/>
    <mergeCell ref="G93:I93"/>
    <mergeCell ref="L93:O93"/>
    <mergeCell ref="C95:D95"/>
    <mergeCell ref="G96:I96"/>
    <mergeCell ref="L96:O96"/>
    <mergeCell ref="C96:D96"/>
    <mergeCell ref="G95:I95"/>
    <mergeCell ref="L95:O95"/>
    <mergeCell ref="C97:D97"/>
    <mergeCell ref="G98:I98"/>
    <mergeCell ref="L98:O98"/>
    <mergeCell ref="C98:D98"/>
    <mergeCell ref="G97:I97"/>
    <mergeCell ref="L97:O97"/>
    <mergeCell ref="C99:D99"/>
    <mergeCell ref="G100:I100"/>
    <mergeCell ref="L100:O100"/>
    <mergeCell ref="C100:D100"/>
    <mergeCell ref="G99:I99"/>
    <mergeCell ref="L99:O99"/>
    <mergeCell ref="C101:D101"/>
    <mergeCell ref="G102:I102"/>
    <mergeCell ref="L102:O102"/>
    <mergeCell ref="C102:D102"/>
    <mergeCell ref="G101:I101"/>
    <mergeCell ref="L101:O101"/>
    <mergeCell ref="C103:D103"/>
    <mergeCell ref="G104:I104"/>
    <mergeCell ref="L104:O104"/>
    <mergeCell ref="C104:D104"/>
    <mergeCell ref="G103:I103"/>
    <mergeCell ref="L103:O103"/>
    <mergeCell ref="C105:D105"/>
    <mergeCell ref="G106:I106"/>
    <mergeCell ref="L106:O106"/>
    <mergeCell ref="C106:D106"/>
    <mergeCell ref="G105:I105"/>
    <mergeCell ref="L105:O105"/>
    <mergeCell ref="C107:D107"/>
    <mergeCell ref="G108:I108"/>
    <mergeCell ref="L108:O108"/>
    <mergeCell ref="C108:D108"/>
    <mergeCell ref="G107:I107"/>
    <mergeCell ref="L107:O107"/>
    <mergeCell ref="C109:D109"/>
    <mergeCell ref="G110:I110"/>
    <mergeCell ref="L110:O110"/>
    <mergeCell ref="C110:D110"/>
    <mergeCell ref="G109:I109"/>
    <mergeCell ref="L109:O109"/>
    <mergeCell ref="C111:D111"/>
    <mergeCell ref="G112:I112"/>
    <mergeCell ref="L112:O112"/>
    <mergeCell ref="C112:D112"/>
    <mergeCell ref="G111:I111"/>
    <mergeCell ref="L111:O111"/>
    <mergeCell ref="L115:O115"/>
    <mergeCell ref="C113:D113"/>
    <mergeCell ref="G114:I114"/>
    <mergeCell ref="L114:O114"/>
    <mergeCell ref="C114:D114"/>
    <mergeCell ref="G113:I113"/>
    <mergeCell ref="L113:O113"/>
    <mergeCell ref="C119:D119"/>
    <mergeCell ref="G120:I120"/>
    <mergeCell ref="L120:O120"/>
    <mergeCell ref="G119:I119"/>
    <mergeCell ref="L119:O119"/>
    <mergeCell ref="C115:D115"/>
    <mergeCell ref="G116:I116"/>
    <mergeCell ref="L116:O116"/>
    <mergeCell ref="C116:D116"/>
    <mergeCell ref="G115:I115"/>
    <mergeCell ref="C117:D117"/>
    <mergeCell ref="G118:I118"/>
    <mergeCell ref="L118:O118"/>
    <mergeCell ref="C118:D118"/>
    <mergeCell ref="G117:I117"/>
    <mergeCell ref="L117:O117"/>
  </mergeCells>
  <printOptions/>
  <pageMargins left="0.7479166666666667" right="0.7479166666666667" top="0.9840277777777777" bottom="0.9840277777777777" header="0.5118055555555555" footer="0.5118055555555555"/>
  <pageSetup fitToHeight="1" fitToWidth="1" horizontalDpi="300" verticalDpi="300" orientation="portrait" scale="29" r:id="rId2"/>
  <legacyDrawing r:id="rId1"/>
</worksheet>
</file>

<file path=xl/worksheets/sheet10.xml><?xml version="1.0" encoding="utf-8"?>
<worksheet xmlns="http://schemas.openxmlformats.org/spreadsheetml/2006/main" xmlns:r="http://schemas.openxmlformats.org/officeDocument/2006/relationships">
  <sheetPr codeName="Sheet15"/>
  <dimension ref="A1:DU78"/>
  <sheetViews>
    <sheetView showGridLines="0" showZeros="0" zoomScaleSheetLayoutView="100" zoomScalePageLayoutView="0" workbookViewId="0" topLeftCell="A1">
      <selection activeCell="L21" sqref="L21"/>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#8"</f>
        <v>WATER BOILING TEST - VERSION 4.2.3 - TEST #8</v>
      </c>
      <c r="B2" s="638"/>
      <c r="C2" s="638"/>
      <c r="D2" s="638"/>
      <c r="E2" s="638"/>
      <c r="F2" s="638"/>
      <c r="G2" s="638"/>
      <c r="H2" s="638"/>
      <c r="I2" s="638"/>
      <c r="J2" s="638"/>
      <c r="K2" s="638"/>
      <c r="L2" s="638"/>
      <c r="M2" s="638"/>
      <c r="N2" s="638"/>
      <c r="O2" s="638"/>
      <c r="P2" s="638"/>
      <c r="Q2" s="638"/>
      <c r="R2" s="638"/>
      <c r="S2" s="638"/>
      <c r="T2" s="10"/>
      <c r="U2" s="293" t="str">
        <f>"TEST #8 "&amp;D7</f>
        <v>TEST #8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#8 "&amp;D7</f>
        <v>TEST #8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#8 "&amp;D7</f>
        <v>TEST #8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11.xml><?xml version="1.0" encoding="utf-8"?>
<worksheet xmlns="http://schemas.openxmlformats.org/spreadsheetml/2006/main" xmlns:r="http://schemas.openxmlformats.org/officeDocument/2006/relationships">
  <sheetPr codeName="Sheet16"/>
  <dimension ref="A1:DU78"/>
  <sheetViews>
    <sheetView showGridLines="0" showZeros="0" zoomScaleSheetLayoutView="100" zoomScalePageLayoutView="0" workbookViewId="0" topLeftCell="A1">
      <selection activeCell="E15" sqref="E15"/>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#9"</f>
        <v>WATER BOILING TEST - VERSION 4.2.3 - TEST #9</v>
      </c>
      <c r="B2" s="638"/>
      <c r="C2" s="638"/>
      <c r="D2" s="638"/>
      <c r="E2" s="638"/>
      <c r="F2" s="638"/>
      <c r="G2" s="638"/>
      <c r="H2" s="638"/>
      <c r="I2" s="638"/>
      <c r="J2" s="638"/>
      <c r="K2" s="638"/>
      <c r="L2" s="638"/>
      <c r="M2" s="638"/>
      <c r="N2" s="638"/>
      <c r="O2" s="638"/>
      <c r="P2" s="638"/>
      <c r="Q2" s="638"/>
      <c r="R2" s="638"/>
      <c r="S2" s="638"/>
      <c r="T2" s="10"/>
      <c r="U2" s="293" t="str">
        <f>"TEST #9 "&amp;D7</f>
        <v>TEST #9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#9 "&amp;D7</f>
        <v>TEST #9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#9 "&amp;D7</f>
        <v>TEST #9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12.xml><?xml version="1.0" encoding="utf-8"?>
<worksheet xmlns="http://schemas.openxmlformats.org/spreadsheetml/2006/main" xmlns:r="http://schemas.openxmlformats.org/officeDocument/2006/relationships">
  <sheetPr codeName="Sheet17"/>
  <dimension ref="A1:DU78"/>
  <sheetViews>
    <sheetView showGridLines="0" showZeros="0" zoomScaleSheetLayoutView="100" workbookViewId="0" topLeftCell="A1">
      <selection activeCell="G18" sqref="G18"/>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#10"</f>
        <v>WATER BOILING TEST - VERSION 4.2.3 - TEST #10</v>
      </c>
      <c r="B2" s="638"/>
      <c r="C2" s="638"/>
      <c r="D2" s="638"/>
      <c r="E2" s="638"/>
      <c r="F2" s="638"/>
      <c r="G2" s="638"/>
      <c r="H2" s="638"/>
      <c r="I2" s="638"/>
      <c r="J2" s="638"/>
      <c r="K2" s="638"/>
      <c r="L2" s="638"/>
      <c r="M2" s="638"/>
      <c r="N2" s="638"/>
      <c r="O2" s="638"/>
      <c r="P2" s="638"/>
      <c r="Q2" s="638"/>
      <c r="R2" s="638"/>
      <c r="S2" s="638"/>
      <c r="T2" s="10"/>
      <c r="U2" s="293" t="str">
        <f>"TEST #10 "&amp;D7</f>
        <v>TEST #10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#10 "&amp;D7</f>
        <v>TEST #10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#10 "&amp;D7</f>
        <v>TEST #10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
</oddFooter>
  </headerFooter>
  <rowBreaks count="1" manualBreakCount="1">
    <brk id="37" max="255" man="1"/>
  </rowBreaks>
  <colBreaks count="2" manualBreakCount="2">
    <brk id="19" max="65535" man="1"/>
    <brk id="52" max="65535" man="1"/>
  </colBreaks>
  <legacyDrawing r:id="rId2"/>
</worksheet>
</file>

<file path=xl/worksheets/sheet13.xml><?xml version="1.0" encoding="utf-8"?>
<worksheet xmlns="http://schemas.openxmlformats.org/spreadsheetml/2006/main" xmlns:r="http://schemas.openxmlformats.org/officeDocument/2006/relationships">
  <sheetPr codeName="Sheet4"/>
  <dimension ref="A1:AA64"/>
  <sheetViews>
    <sheetView showGridLines="0" showZeros="0" zoomScaleSheetLayoutView="70" workbookViewId="0" topLeftCell="A8">
      <selection activeCell="B41" sqref="B41"/>
    </sheetView>
  </sheetViews>
  <sheetFormatPr defaultColWidth="9.140625" defaultRowHeight="12.75"/>
  <cols>
    <col min="1" max="1" width="1.7109375" style="122" customWidth="1"/>
    <col min="2" max="2" width="40.7109375" style="122" customWidth="1"/>
    <col min="3" max="3" width="9.7109375" style="123" customWidth="1"/>
    <col min="4" max="13" width="8.57421875" style="124" customWidth="1"/>
    <col min="14" max="15" width="9.8515625" style="125" customWidth="1"/>
    <col min="16" max="16" width="7.8515625" style="353" customWidth="1"/>
    <col min="17" max="17" width="1.7109375" style="122" customWidth="1"/>
    <col min="18" max="16384" width="9.140625" style="122" customWidth="1"/>
  </cols>
  <sheetData>
    <row r="1" spans="1:17" ht="13.5" thickBot="1">
      <c r="A1" s="128"/>
      <c r="Q1" s="131"/>
    </row>
    <row r="2" spans="1:17" ht="13.5" thickTop="1">
      <c r="A2" s="128"/>
      <c r="B2" s="253" t="str">
        <f>"WATER BOILING TEST - VERSION "&amp;version</f>
        <v>WATER BOILING TEST - VERSION 4.2.3</v>
      </c>
      <c r="C2" s="256" t="s">
        <v>752</v>
      </c>
      <c r="D2" s="675">
        <f>'General Information'!C4</f>
        <v>0</v>
      </c>
      <c r="E2" s="675"/>
      <c r="F2" s="126"/>
      <c r="G2" s="126"/>
      <c r="H2" s="126"/>
      <c r="I2" s="126"/>
      <c r="J2" s="126"/>
      <c r="K2" s="126"/>
      <c r="L2" s="126"/>
      <c r="M2" s="126"/>
      <c r="N2" s="127"/>
      <c r="O2" s="127"/>
      <c r="P2" s="354"/>
      <c r="Q2" s="131"/>
    </row>
    <row r="3" spans="1:17" ht="12.75">
      <c r="A3" s="128"/>
      <c r="B3" s="255" t="s">
        <v>753</v>
      </c>
      <c r="C3" s="157"/>
      <c r="D3" s="252"/>
      <c r="E3" s="252"/>
      <c r="P3" s="355"/>
      <c r="Q3" s="131"/>
    </row>
    <row r="4" spans="1:17" ht="12.75">
      <c r="A4" s="128"/>
      <c r="B4" s="130" t="s">
        <v>43</v>
      </c>
      <c r="C4" s="676">
        <f>'General Information'!C10</f>
        <v>0</v>
      </c>
      <c r="D4" s="676"/>
      <c r="E4" s="676"/>
      <c r="F4" s="676"/>
      <c r="G4" s="676"/>
      <c r="H4" s="676"/>
      <c r="I4" s="676"/>
      <c r="J4" s="676"/>
      <c r="K4" s="676"/>
      <c r="L4" s="676"/>
      <c r="M4" s="676"/>
      <c r="N4" s="676"/>
      <c r="O4" s="676"/>
      <c r="P4" s="676"/>
      <c r="Q4" s="131"/>
    </row>
    <row r="5" spans="1:17" ht="12.75">
      <c r="A5" s="128"/>
      <c r="B5" s="130" t="s">
        <v>50</v>
      </c>
      <c r="C5" s="676">
        <f>'General Information'!C7</f>
        <v>0</v>
      </c>
      <c r="D5" s="676"/>
      <c r="E5" s="676"/>
      <c r="F5" s="676"/>
      <c r="G5" s="676"/>
      <c r="H5" s="676"/>
      <c r="I5" s="676"/>
      <c r="J5" s="676"/>
      <c r="K5" s="676"/>
      <c r="L5" s="676"/>
      <c r="M5" s="676"/>
      <c r="N5" s="676"/>
      <c r="O5" s="676"/>
      <c r="P5" s="676"/>
      <c r="Q5" s="131"/>
    </row>
    <row r="6" spans="1:27" ht="12.75">
      <c r="A6" s="128"/>
      <c r="B6" s="219" t="s">
        <v>707</v>
      </c>
      <c r="C6" s="305" t="str">
        <f>'General Information'!J3&amp;" "&amp;IF('General Information'!J4=1,"",VLOOKUP('General Information'!J4,FuelCalorific,2,FALSE))</f>
        <v> Average Hardwood</v>
      </c>
      <c r="D6" s="305"/>
      <c r="E6" s="305"/>
      <c r="F6" s="305"/>
      <c r="G6" s="305"/>
      <c r="H6" s="305"/>
      <c r="I6" s="305"/>
      <c r="J6" s="305"/>
      <c r="K6" s="305"/>
      <c r="L6" s="305"/>
      <c r="M6" s="305"/>
      <c r="N6" s="305"/>
      <c r="O6" s="305"/>
      <c r="P6" s="356"/>
      <c r="Q6" s="131"/>
      <c r="T6" s="130"/>
      <c r="U6" s="130"/>
      <c r="V6" s="130"/>
      <c r="W6" s="130"/>
      <c r="X6" s="130"/>
      <c r="Z6" s="130"/>
      <c r="AA6" s="130"/>
    </row>
    <row r="7" spans="1:18" ht="12.75">
      <c r="A7" s="128"/>
      <c r="B7" s="536" t="s">
        <v>722</v>
      </c>
      <c r="C7" s="677" t="str">
        <f>VLOOKUP('Test-1'!E16,WindConditions,2,FALSE)&amp;"; "&amp;VLOOKUP('Test-2'!E16,WindConditions,2,FALSE)&amp;"; "&amp;VLOOKUP('Test-3'!E16,WindConditions,2,FALSE)&amp;"; "&amp;VLOOKUP('Test-4'!E16,WindConditions,2,FALSE)&amp;"; "&amp;VLOOKUP('Test-5'!E16,WindConditions,2,FALSE)&amp;"; "&amp;VLOOKUP('Test-6'!E16,WindConditions,2,FALSE)&amp;"; "&amp;VLOOKUP('Test-7'!E16,WindConditions,2,FALSE)&amp;"; "&amp;VLOOKUP('Test-8'!E16,WindConditions,2,FALSE)&amp;"; "&amp;VLOOKUP('Test-9'!E16,WindConditions,2,FALSE)&amp;"; "&amp;VLOOKUP('Test-10'!E16,WindConditions,2,FALSE)</f>
        <v>(Select from list); (Select from list); (Select from list); (Select from list); (Select from list); (Select from list); (Select from list); (Select from list); (Select from list); (Select from list)</v>
      </c>
      <c r="D7" s="677"/>
      <c r="E7" s="677"/>
      <c r="F7" s="677"/>
      <c r="G7" s="677"/>
      <c r="H7" s="677"/>
      <c r="I7" s="677"/>
      <c r="J7" s="677"/>
      <c r="K7" s="677"/>
      <c r="L7" s="677"/>
      <c r="M7" s="677"/>
      <c r="N7" s="677"/>
      <c r="O7" s="677"/>
      <c r="P7" s="677"/>
      <c r="Q7" s="131"/>
      <c r="R7" s="2"/>
    </row>
    <row r="8" spans="1:18" ht="12.75">
      <c r="A8" s="128"/>
      <c r="B8" s="254" t="s">
        <v>751</v>
      </c>
      <c r="C8" s="678" t="str">
        <f>'Test-1'!E15&amp;"; "&amp;'Test-2'!E15&amp;"; "&amp;'Test-3'!E15&amp;"; "&amp;'Test-4'!E15&amp;"; "&amp;'Test-5'!E15&amp;"; "&amp;'Test-6'!E15&amp;"; "&amp;'Test-7'!E15&amp;"; "&amp;'Test-8'!E15&amp;"; "&amp;'Test-9'!E15&amp;"; "&amp;'Test-10'!E15</f>
        <v>; ; ; ; ; ; ; ; ; </v>
      </c>
      <c r="D8" s="678"/>
      <c r="E8" s="678"/>
      <c r="F8" s="678"/>
      <c r="G8" s="678"/>
      <c r="H8" s="678"/>
      <c r="I8" s="678"/>
      <c r="J8" s="678"/>
      <c r="K8" s="678"/>
      <c r="L8" s="678"/>
      <c r="M8" s="678"/>
      <c r="N8" s="678"/>
      <c r="O8" s="678"/>
      <c r="P8" s="678"/>
      <c r="Q8" s="131"/>
      <c r="R8" s="2"/>
    </row>
    <row r="9" spans="1:18" ht="12.75">
      <c r="A9" s="128"/>
      <c r="B9" s="129"/>
      <c r="C9" s="132"/>
      <c r="P9" s="355"/>
      <c r="Q9" s="131"/>
      <c r="R9" s="2"/>
    </row>
    <row r="10" spans="1:18" ht="12.75">
      <c r="A10" s="128"/>
      <c r="B10" s="133" t="s">
        <v>187</v>
      </c>
      <c r="C10" s="134" t="s">
        <v>90</v>
      </c>
      <c r="D10" s="135" t="s">
        <v>188</v>
      </c>
      <c r="E10" s="135" t="s">
        <v>189</v>
      </c>
      <c r="F10" s="135" t="s">
        <v>190</v>
      </c>
      <c r="G10" s="135" t="s">
        <v>1011</v>
      </c>
      <c r="H10" s="135" t="s">
        <v>1012</v>
      </c>
      <c r="I10" s="135" t="s">
        <v>1013</v>
      </c>
      <c r="J10" s="135" t="s">
        <v>1014</v>
      </c>
      <c r="K10" s="135" t="s">
        <v>1015</v>
      </c>
      <c r="L10" s="135" t="s">
        <v>1016</v>
      </c>
      <c r="M10" s="135" t="s">
        <v>1017</v>
      </c>
      <c r="N10" s="136" t="s">
        <v>191</v>
      </c>
      <c r="O10" s="137" t="s">
        <v>192</v>
      </c>
      <c r="P10" s="357" t="s">
        <v>193</v>
      </c>
      <c r="Q10" s="131"/>
      <c r="R10" s="2"/>
    </row>
    <row r="11" spans="1:18" ht="12.75">
      <c r="A11" s="128"/>
      <c r="B11" s="311" t="s">
        <v>140</v>
      </c>
      <c r="C11" s="312" t="s">
        <v>141</v>
      </c>
      <c r="D11" s="537">
        <f>'Test-1'!$W33</f>
        <v>29.99999999999997</v>
      </c>
      <c r="E11" s="537">
        <f>'Test-2'!$W33</f>
        <v>0</v>
      </c>
      <c r="F11" s="537">
        <f>'Test-3'!$W33</f>
        <v>0</v>
      </c>
      <c r="G11" s="537">
        <f>'Test-4'!$W33</f>
        <v>0</v>
      </c>
      <c r="H11" s="537">
        <f>'Test-5'!$W33</f>
        <v>0</v>
      </c>
      <c r="I11" s="537">
        <f>'Test-6'!$W33</f>
        <v>0</v>
      </c>
      <c r="J11" s="537">
        <f>'Test-7'!$W33</f>
        <v>0</v>
      </c>
      <c r="K11" s="537">
        <f>'Test-8'!$W33</f>
        <v>0</v>
      </c>
      <c r="L11" s="537">
        <f>'Test-9'!$W33</f>
        <v>0</v>
      </c>
      <c r="M11" s="537">
        <f>'Test-10'!$W33</f>
        <v>0</v>
      </c>
      <c r="N11" s="559">
        <f aca="true" t="shared" si="0" ref="N11:N17">SUMIF(D11:M11,"&gt;0",D11:M11)/COUNTIF(D11:M11,"&gt;0")</f>
        <v>29.99999999999997</v>
      </c>
      <c r="O11" s="538">
        <f aca="true" t="shared" si="1" ref="O11:O18">IF(PRODUCT(D11:M11)=0,0,STDEV(D11:M11))</f>
        <v>0</v>
      </c>
      <c r="P11" s="541">
        <f aca="true" t="shared" si="2" ref="P11:P18">IF(N11=0,0,O11/N11)</f>
        <v>0</v>
      </c>
      <c r="Q11" s="131"/>
      <c r="R11" s="2"/>
    </row>
    <row r="12" spans="1:18" ht="12.75">
      <c r="A12" s="128"/>
      <c r="B12" s="138" t="s">
        <v>194</v>
      </c>
      <c r="C12" s="132" t="s">
        <v>141</v>
      </c>
      <c r="D12" s="379">
        <f>'Test-1'!$W34</f>
        <v>28.84615384615382</v>
      </c>
      <c r="E12" s="379">
        <f>'Test-2'!$W34</f>
        <v>0</v>
      </c>
      <c r="F12" s="379">
        <f>'Test-3'!$W34</f>
        <v>0</v>
      </c>
      <c r="G12" s="379">
        <f>'Test-4'!$W34</f>
        <v>0</v>
      </c>
      <c r="H12" s="379">
        <f>'Test-5'!$W34</f>
        <v>0</v>
      </c>
      <c r="I12" s="379">
        <f>'Test-6'!$W34</f>
        <v>0</v>
      </c>
      <c r="J12" s="379">
        <f>'Test-7'!$W34</f>
        <v>0</v>
      </c>
      <c r="K12" s="379">
        <f>'Test-8'!$W34</f>
        <v>0</v>
      </c>
      <c r="L12" s="379">
        <f>'Test-9'!$W34</f>
        <v>0</v>
      </c>
      <c r="M12" s="379">
        <f>'Test-10'!$W34</f>
        <v>0</v>
      </c>
      <c r="N12" s="560">
        <f t="shared" si="0"/>
        <v>28.84615384615382</v>
      </c>
      <c r="O12" s="539">
        <f t="shared" si="1"/>
        <v>0</v>
      </c>
      <c r="P12" s="542">
        <f t="shared" si="2"/>
        <v>0</v>
      </c>
      <c r="Q12" s="131"/>
      <c r="R12" s="2"/>
    </row>
    <row r="13" spans="1:18" ht="12.75">
      <c r="A13" s="128"/>
      <c r="B13" s="138" t="s">
        <v>153</v>
      </c>
      <c r="C13" s="132" t="s">
        <v>154</v>
      </c>
      <c r="D13" s="379">
        <f>'Test-1'!$W36</f>
        <v>10.72788820100649</v>
      </c>
      <c r="E13" s="379" t="e">
        <f>'Test-2'!$W36</f>
        <v>#DIV/0!</v>
      </c>
      <c r="F13" s="379" t="e">
        <f>'Test-3'!$W36</f>
        <v>#DIV/0!</v>
      </c>
      <c r="G13" s="379" t="e">
        <f>'Test-4'!$W36</f>
        <v>#DIV/0!</v>
      </c>
      <c r="H13" s="379" t="e">
        <f>'Test-5'!$W36</f>
        <v>#DIV/0!</v>
      </c>
      <c r="I13" s="379" t="e">
        <f>'Test-6'!$W36</f>
        <v>#DIV/0!</v>
      </c>
      <c r="J13" s="379" t="e">
        <f>'Test-7'!$W36</f>
        <v>#DIV/0!</v>
      </c>
      <c r="K13" s="379" t="e">
        <f>'Test-8'!$W36</f>
        <v>#DIV/0!</v>
      </c>
      <c r="L13" s="379" t="e">
        <f>'Test-9'!$W36</f>
        <v>#DIV/0!</v>
      </c>
      <c r="M13" s="379" t="e">
        <f>'Test-10'!$W36</f>
        <v>#DIV/0!</v>
      </c>
      <c r="N13" s="560">
        <f t="shared" si="0"/>
        <v>10.72788820100649</v>
      </c>
      <c r="O13" s="539" t="e">
        <f t="shared" si="1"/>
        <v>#DIV/0!</v>
      </c>
      <c r="P13" s="542" t="e">
        <f t="shared" si="2"/>
        <v>#DIV/0!</v>
      </c>
      <c r="Q13" s="131"/>
      <c r="R13" s="2"/>
    </row>
    <row r="14" spans="1:18" ht="12.75">
      <c r="A14" s="128"/>
      <c r="B14" s="138" t="s">
        <v>149</v>
      </c>
      <c r="C14" s="132" t="s">
        <v>113</v>
      </c>
      <c r="D14" s="381">
        <f>'Test-1'!$W35</f>
        <v>0.3778748966471491</v>
      </c>
      <c r="E14" s="381" t="e">
        <f>'Test-2'!$W35</f>
        <v>#DIV/0!</v>
      </c>
      <c r="F14" s="381" t="e">
        <f>'Test-3'!$W35</f>
        <v>#DIV/0!</v>
      </c>
      <c r="G14" s="381" t="e">
        <f>'Test-4'!$W35</f>
        <v>#DIV/0!</v>
      </c>
      <c r="H14" s="381" t="e">
        <f>'Test-5'!$W35</f>
        <v>#DIV/0!</v>
      </c>
      <c r="I14" s="381" t="e">
        <f>'Test-6'!$W35</f>
        <v>#DIV/0!</v>
      </c>
      <c r="J14" s="381" t="e">
        <f>'Test-7'!$W35</f>
        <v>#DIV/0!</v>
      </c>
      <c r="K14" s="381" t="e">
        <f>'Test-8'!$W35</f>
        <v>#DIV/0!</v>
      </c>
      <c r="L14" s="381" t="e">
        <f>'Test-9'!$W35</f>
        <v>#DIV/0!</v>
      </c>
      <c r="M14" s="381" t="e">
        <f>'Test-10'!$W35</f>
        <v>#DIV/0!</v>
      </c>
      <c r="N14" s="562">
        <f t="shared" si="0"/>
        <v>0.3778748966471491</v>
      </c>
      <c r="O14" s="381" t="e">
        <f t="shared" si="1"/>
        <v>#DIV/0!</v>
      </c>
      <c r="P14" s="542" t="e">
        <f t="shared" si="2"/>
        <v>#DIV/0!</v>
      </c>
      <c r="Q14" s="131"/>
      <c r="R14" s="2"/>
    </row>
    <row r="15" spans="1:17" ht="12.75">
      <c r="A15" s="128"/>
      <c r="B15" s="138" t="s">
        <v>158</v>
      </c>
      <c r="C15" s="132" t="s">
        <v>159</v>
      </c>
      <c r="D15" s="379">
        <f>'Test-1'!$W37</f>
        <v>66.06120629040832</v>
      </c>
      <c r="E15" s="379" t="e">
        <f>'Test-2'!$W37</f>
        <v>#DIV/0!</v>
      </c>
      <c r="F15" s="379" t="e">
        <f>'Test-3'!$W37</f>
        <v>#DIV/0!</v>
      </c>
      <c r="G15" s="379" t="e">
        <f>'Test-4'!$W37</f>
        <v>#DIV/0!</v>
      </c>
      <c r="H15" s="379" t="e">
        <f>'Test-5'!$W37</f>
        <v>#DIV/0!</v>
      </c>
      <c r="I15" s="379" t="e">
        <f>'Test-6'!$W37</f>
        <v>#DIV/0!</v>
      </c>
      <c r="J15" s="379" t="e">
        <f>'Test-7'!$W37</f>
        <v>#DIV/0!</v>
      </c>
      <c r="K15" s="379" t="e">
        <f>'Test-8'!$W37</f>
        <v>#DIV/0!</v>
      </c>
      <c r="L15" s="379" t="e">
        <f>'Test-9'!$W37</f>
        <v>#DIV/0!</v>
      </c>
      <c r="M15" s="379" t="e">
        <f>'Test-10'!$W37</f>
        <v>#DIV/0!</v>
      </c>
      <c r="N15" s="560">
        <f t="shared" si="0"/>
        <v>66.06120629040832</v>
      </c>
      <c r="O15" s="539" t="e">
        <f t="shared" si="1"/>
        <v>#DIV/0!</v>
      </c>
      <c r="P15" s="542" t="e">
        <f t="shared" si="2"/>
        <v>#DIV/0!</v>
      </c>
      <c r="Q15" s="131"/>
    </row>
    <row r="16" spans="1:17" ht="12.75">
      <c r="A16" s="128"/>
      <c r="B16" s="138" t="s">
        <v>195</v>
      </c>
      <c r="C16" s="132" t="s">
        <v>159</v>
      </c>
      <c r="D16" s="379">
        <f>'Test-1'!$W38</f>
        <v>63.52039066385416</v>
      </c>
      <c r="E16" s="379" t="e">
        <f>'Test-2'!$W38</f>
        <v>#DIV/0!</v>
      </c>
      <c r="F16" s="379" t="e">
        <f>'Test-3'!$W38</f>
        <v>#DIV/0!</v>
      </c>
      <c r="G16" s="379" t="e">
        <f>'Test-4'!$W38</f>
        <v>#DIV/0!</v>
      </c>
      <c r="H16" s="379" t="e">
        <f>'Test-5'!$W38</f>
        <v>#DIV/0!</v>
      </c>
      <c r="I16" s="379" t="e">
        <f>'Test-6'!$W38</f>
        <v>#DIV/0!</v>
      </c>
      <c r="J16" s="379" t="e">
        <f>'Test-7'!$W38</f>
        <v>#DIV/0!</v>
      </c>
      <c r="K16" s="379" t="e">
        <f>'Test-8'!$W38</f>
        <v>#DIV/0!</v>
      </c>
      <c r="L16" s="379" t="e">
        <f>'Test-9'!$W38</f>
        <v>#DIV/0!</v>
      </c>
      <c r="M16" s="379" t="e">
        <f>'Test-10'!$W38</f>
        <v>#DIV/0!</v>
      </c>
      <c r="N16" s="560">
        <f t="shared" si="0"/>
        <v>63.52039066385416</v>
      </c>
      <c r="O16" s="539" t="e">
        <f t="shared" si="1"/>
        <v>#DIV/0!</v>
      </c>
      <c r="P16" s="542" t="e">
        <f t="shared" si="2"/>
        <v>#DIV/0!</v>
      </c>
      <c r="Q16" s="131"/>
    </row>
    <row r="17" spans="1:17" ht="12.75">
      <c r="A17" s="128"/>
      <c r="B17" s="138" t="s">
        <v>196</v>
      </c>
      <c r="C17" s="132" t="s">
        <v>172</v>
      </c>
      <c r="D17" s="379">
        <f>'Test-1'!$W39</f>
        <v>1169.6644736842106</v>
      </c>
      <c r="E17" s="379" t="e">
        <f>'Test-2'!$W39</f>
        <v>#DIV/0!</v>
      </c>
      <c r="F17" s="379" t="e">
        <f>'Test-3'!$W39</f>
        <v>#DIV/0!</v>
      </c>
      <c r="G17" s="379" t="e">
        <f>'Test-4'!$W39</f>
        <v>#DIV/0!</v>
      </c>
      <c r="H17" s="379" t="e">
        <f>'Test-5'!$W39</f>
        <v>#DIV/0!</v>
      </c>
      <c r="I17" s="379" t="e">
        <f>'Test-6'!$W39</f>
        <v>#DIV/0!</v>
      </c>
      <c r="J17" s="379" t="e">
        <f>'Test-7'!$W39</f>
        <v>#DIV/0!</v>
      </c>
      <c r="K17" s="379" t="e">
        <f>'Test-8'!$W39</f>
        <v>#DIV/0!</v>
      </c>
      <c r="L17" s="379" t="e">
        <f>'Test-9'!$W39</f>
        <v>#DIV/0!</v>
      </c>
      <c r="M17" s="379" t="e">
        <f>'Test-10'!$W39</f>
        <v>#DIV/0!</v>
      </c>
      <c r="N17" s="560">
        <f t="shared" si="0"/>
        <v>1169.6644736842106</v>
      </c>
      <c r="O17" s="539" t="e">
        <f t="shared" si="1"/>
        <v>#DIV/0!</v>
      </c>
      <c r="P17" s="542" t="e">
        <f t="shared" si="2"/>
        <v>#DIV/0!</v>
      </c>
      <c r="Q17" s="131"/>
    </row>
    <row r="18" spans="1:17" ht="12.75">
      <c r="A18" s="128"/>
      <c r="B18" s="141" t="s">
        <v>163</v>
      </c>
      <c r="C18" s="142" t="s">
        <v>164</v>
      </c>
      <c r="D18" s="383">
        <f>'Test-1'!$W40</f>
        <v>3292.3888888888923</v>
      </c>
      <c r="E18" s="383" t="e">
        <f>'Test-2'!$W40</f>
        <v>#DIV/0!</v>
      </c>
      <c r="F18" s="383" t="e">
        <f>'Test-3'!$W40</f>
        <v>#DIV/0!</v>
      </c>
      <c r="G18" s="383" t="e">
        <f>'Test-4'!$W40</f>
        <v>#DIV/0!</v>
      </c>
      <c r="H18" s="383" t="e">
        <f>'Test-5'!$W40</f>
        <v>#DIV/0!</v>
      </c>
      <c r="I18" s="383" t="e">
        <f>'Test-6'!$W40</f>
        <v>#DIV/0!</v>
      </c>
      <c r="J18" s="383" t="e">
        <f>'Test-7'!$W40</f>
        <v>#DIV/0!</v>
      </c>
      <c r="K18" s="383" t="e">
        <f>'Test-8'!$W40</f>
        <v>#DIV/0!</v>
      </c>
      <c r="L18" s="383" t="e">
        <f>'Test-9'!$W40</f>
        <v>#DIV/0!</v>
      </c>
      <c r="M18" s="383" t="e">
        <f>'Test-10'!$W40</f>
        <v>#DIV/0!</v>
      </c>
      <c r="N18" s="563">
        <f>SUMIF(D18:M18,"&gt;0",D18:M18)/IF(D18=0,1,COUNTIF(D18:M18,"&gt;0"))</f>
        <v>3292.3888888888923</v>
      </c>
      <c r="O18" s="540" t="e">
        <f t="shared" si="1"/>
        <v>#DIV/0!</v>
      </c>
      <c r="P18" s="543" t="e">
        <f t="shared" si="2"/>
        <v>#DIV/0!</v>
      </c>
      <c r="Q18" s="131"/>
    </row>
    <row r="19" spans="1:17" ht="12.75">
      <c r="A19" s="128"/>
      <c r="B19" s="129"/>
      <c r="C19" s="132"/>
      <c r="D19" s="125"/>
      <c r="E19" s="125"/>
      <c r="F19" s="125"/>
      <c r="G19" s="125"/>
      <c r="H19" s="125"/>
      <c r="I19" s="125"/>
      <c r="J19" s="125"/>
      <c r="K19" s="125"/>
      <c r="L19" s="125"/>
      <c r="M19" s="125"/>
      <c r="N19" s="385"/>
      <c r="P19" s="360"/>
      <c r="Q19" s="131"/>
    </row>
    <row r="20" spans="1:17" ht="12.75">
      <c r="A20" s="128"/>
      <c r="B20" s="133" t="s">
        <v>197</v>
      </c>
      <c r="C20" s="134" t="s">
        <v>90</v>
      </c>
      <c r="D20" s="386" t="s">
        <v>188</v>
      </c>
      <c r="E20" s="386" t="s">
        <v>189</v>
      </c>
      <c r="F20" s="386" t="s">
        <v>190</v>
      </c>
      <c r="G20" s="135" t="s">
        <v>1011</v>
      </c>
      <c r="H20" s="135" t="s">
        <v>1012</v>
      </c>
      <c r="I20" s="135" t="s">
        <v>1013</v>
      </c>
      <c r="J20" s="135" t="s">
        <v>1014</v>
      </c>
      <c r="K20" s="135" t="s">
        <v>1015</v>
      </c>
      <c r="L20" s="135" t="s">
        <v>1016</v>
      </c>
      <c r="M20" s="135" t="s">
        <v>1017</v>
      </c>
      <c r="N20" s="387" t="s">
        <v>191</v>
      </c>
      <c r="O20" s="388" t="s">
        <v>192</v>
      </c>
      <c r="P20" s="361" t="s">
        <v>193</v>
      </c>
      <c r="Q20" s="131"/>
    </row>
    <row r="21" spans="1:17" ht="12.75">
      <c r="A21" s="128"/>
      <c r="B21" s="138" t="s">
        <v>140</v>
      </c>
      <c r="C21" s="132" t="s">
        <v>141</v>
      </c>
      <c r="D21" s="379">
        <f>'Test-1'!$AA33</f>
        <v>23</v>
      </c>
      <c r="E21" s="379">
        <f>'Test-2'!$AA33</f>
        <v>0</v>
      </c>
      <c r="F21" s="379">
        <f>'Test-3'!$AA33</f>
        <v>0</v>
      </c>
      <c r="G21" s="379">
        <f>'Test-4'!$AA33</f>
        <v>0</v>
      </c>
      <c r="H21" s="379">
        <f>'Test-5'!$AA33</f>
        <v>0</v>
      </c>
      <c r="I21" s="379">
        <f>'Test-6'!$AA33</f>
        <v>0</v>
      </c>
      <c r="J21" s="379">
        <f>'Test-7'!$AA33</f>
        <v>0</v>
      </c>
      <c r="K21" s="379">
        <f>'Test-8'!$AA33</f>
        <v>0</v>
      </c>
      <c r="L21" s="379">
        <f>'Test-9'!$AA33</f>
        <v>0</v>
      </c>
      <c r="M21" s="379">
        <f>'Test-10'!$AA33</f>
        <v>0</v>
      </c>
      <c r="N21" s="559">
        <f aca="true" t="shared" si="3" ref="N21:N28">SUMIF(D21:M21,"&gt;0",D21:M21)/COUNTIF(D21:M21,"&gt;0")</f>
        <v>23</v>
      </c>
      <c r="O21" s="380">
        <f aca="true" t="shared" si="4" ref="O21:O28">IF(PRODUCT(D21:M21)=0,0,STDEV(D21:M21))</f>
        <v>0</v>
      </c>
      <c r="P21" s="358">
        <f aca="true" t="shared" si="5" ref="P21:P28">IF(N21=0,0,O21/N21)</f>
        <v>0</v>
      </c>
      <c r="Q21" s="131"/>
    </row>
    <row r="22" spans="1:17" ht="12.75">
      <c r="A22" s="128"/>
      <c r="B22" s="138" t="s">
        <v>194</v>
      </c>
      <c r="C22" s="132" t="s">
        <v>141</v>
      </c>
      <c r="D22" s="379">
        <f>'Test-1'!$AA34</f>
        <v>22.115384615384617</v>
      </c>
      <c r="E22" s="379">
        <f>'Test-2'!$AA34</f>
        <v>0</v>
      </c>
      <c r="F22" s="379">
        <f>'Test-3'!$AA34</f>
        <v>0</v>
      </c>
      <c r="G22" s="379">
        <f>'Test-4'!$AA34</f>
        <v>0</v>
      </c>
      <c r="H22" s="379">
        <f>'Test-5'!$AA34</f>
        <v>0</v>
      </c>
      <c r="I22" s="379">
        <f>'Test-6'!$AA34</f>
        <v>0</v>
      </c>
      <c r="J22" s="379">
        <f>'Test-7'!$AA34</f>
        <v>0</v>
      </c>
      <c r="K22" s="379">
        <f>'Test-8'!$AA34</f>
        <v>0</v>
      </c>
      <c r="L22" s="379">
        <f>'Test-9'!$AA34</f>
        <v>0</v>
      </c>
      <c r="M22" s="379">
        <f>'Test-10'!$AA34</f>
        <v>0</v>
      </c>
      <c r="N22" s="560">
        <f t="shared" si="3"/>
        <v>22.115384615384617</v>
      </c>
      <c r="O22" s="380">
        <f t="shared" si="4"/>
        <v>0</v>
      </c>
      <c r="P22" s="358">
        <f t="shared" si="5"/>
        <v>0</v>
      </c>
      <c r="Q22" s="131"/>
    </row>
    <row r="23" spans="1:17" ht="12.75">
      <c r="A23" s="128"/>
      <c r="B23" s="138" t="s">
        <v>153</v>
      </c>
      <c r="C23" s="132" t="s">
        <v>154</v>
      </c>
      <c r="D23" s="379">
        <f>'Test-1'!$AA36</f>
        <v>16.818984610008453</v>
      </c>
      <c r="E23" s="379" t="e">
        <f>'Test-2'!$AA36</f>
        <v>#DIV/0!</v>
      </c>
      <c r="F23" s="379" t="e">
        <f>'Test-3'!$AA36</f>
        <v>#DIV/0!</v>
      </c>
      <c r="G23" s="379" t="e">
        <f>'Test-4'!$AA36</f>
        <v>#DIV/0!</v>
      </c>
      <c r="H23" s="379" t="e">
        <f>'Test-5'!$AA36</f>
        <v>#DIV/0!</v>
      </c>
      <c r="I23" s="379" t="e">
        <f>'Test-6'!$AA36</f>
        <v>#DIV/0!</v>
      </c>
      <c r="J23" s="379" t="e">
        <f>'Test-7'!$AA36</f>
        <v>#DIV/0!</v>
      </c>
      <c r="K23" s="379" t="e">
        <f>'Test-8'!$AA36</f>
        <v>#DIV/0!</v>
      </c>
      <c r="L23" s="379" t="e">
        <f>'Test-9'!$AA36</f>
        <v>#DIV/0!</v>
      </c>
      <c r="M23" s="379" t="e">
        <f>'Test-10'!$AA36</f>
        <v>#DIV/0!</v>
      </c>
      <c r="N23" s="560">
        <f t="shared" si="3"/>
        <v>16.818984610008453</v>
      </c>
      <c r="O23" s="380" t="e">
        <f t="shared" si="4"/>
        <v>#DIV/0!</v>
      </c>
      <c r="P23" s="358" t="e">
        <f t="shared" si="5"/>
        <v>#DIV/0!</v>
      </c>
      <c r="Q23" s="131"/>
    </row>
    <row r="24" spans="1:17" ht="12.75">
      <c r="A24" s="128"/>
      <c r="B24" s="138" t="s">
        <v>149</v>
      </c>
      <c r="C24" s="132" t="s">
        <v>113</v>
      </c>
      <c r="D24" s="381">
        <f>'Test-1'!$AA35</f>
        <v>0.29851710113839125</v>
      </c>
      <c r="E24" s="381" t="e">
        <f>'Test-2'!$AA35</f>
        <v>#DIV/0!</v>
      </c>
      <c r="F24" s="381" t="e">
        <f>'Test-3'!$AA35</f>
        <v>#DIV/0!</v>
      </c>
      <c r="G24" s="381" t="e">
        <f>'Test-4'!$AA35</f>
        <v>#DIV/0!</v>
      </c>
      <c r="H24" s="381" t="e">
        <f>'Test-5'!$AA35</f>
        <v>#DIV/0!</v>
      </c>
      <c r="I24" s="381" t="e">
        <f>'Test-6'!$AA35</f>
        <v>#DIV/0!</v>
      </c>
      <c r="J24" s="381" t="e">
        <f>'Test-7'!$AA35</f>
        <v>#DIV/0!</v>
      </c>
      <c r="K24" s="381" t="e">
        <f>'Test-8'!$AA35</f>
        <v>#DIV/0!</v>
      </c>
      <c r="L24" s="381" t="e">
        <f>'Test-9'!$AA35</f>
        <v>#DIV/0!</v>
      </c>
      <c r="M24" s="381" t="e">
        <f>'Test-10'!$AA35</f>
        <v>#DIV/0!</v>
      </c>
      <c r="N24" s="560">
        <f t="shared" si="3"/>
        <v>0.29851710113839125</v>
      </c>
      <c r="O24" s="382" t="e">
        <f t="shared" si="4"/>
        <v>#DIV/0!</v>
      </c>
      <c r="P24" s="358" t="e">
        <f t="shared" si="5"/>
        <v>#DIV/0!</v>
      </c>
      <c r="Q24" s="131"/>
    </row>
    <row r="25" spans="1:17" ht="12.75">
      <c r="A25" s="128"/>
      <c r="B25" s="138" t="s">
        <v>158</v>
      </c>
      <c r="C25" s="132" t="s">
        <v>159</v>
      </c>
      <c r="D25" s="379">
        <f>'Test-1'!$AA37</f>
        <v>78.57619372488324</v>
      </c>
      <c r="E25" s="379" t="e">
        <f>'Test-2'!$AA37</f>
        <v>#DIV/0!</v>
      </c>
      <c r="F25" s="379" t="e">
        <f>'Test-3'!$AA37</f>
        <v>#DIV/0!</v>
      </c>
      <c r="G25" s="379" t="e">
        <f>'Test-4'!$AA37</f>
        <v>#DIV/0!</v>
      </c>
      <c r="H25" s="379" t="e">
        <f>'Test-5'!$AA37</f>
        <v>#DIV/0!</v>
      </c>
      <c r="I25" s="379" t="e">
        <f>'Test-6'!$AA37</f>
        <v>#DIV/0!</v>
      </c>
      <c r="J25" s="379" t="e">
        <f>'Test-7'!$AA37</f>
        <v>#DIV/0!</v>
      </c>
      <c r="K25" s="379" t="e">
        <f>'Test-8'!$AA37</f>
        <v>#DIV/0!</v>
      </c>
      <c r="L25" s="379" t="e">
        <f>'Test-9'!$AA37</f>
        <v>#DIV/0!</v>
      </c>
      <c r="M25" s="379" t="e">
        <f>'Test-10'!$AA37</f>
        <v>#DIV/0!</v>
      </c>
      <c r="N25" s="560">
        <f t="shared" si="3"/>
        <v>78.57619372488324</v>
      </c>
      <c r="O25" s="380" t="e">
        <f t="shared" si="4"/>
        <v>#DIV/0!</v>
      </c>
      <c r="P25" s="358" t="e">
        <f t="shared" si="5"/>
        <v>#DIV/0!</v>
      </c>
      <c r="Q25" s="131"/>
    </row>
    <row r="26" spans="1:17" ht="12.75">
      <c r="A26" s="128"/>
      <c r="B26" s="138" t="s">
        <v>195</v>
      </c>
      <c r="C26" s="144" t="s">
        <v>159</v>
      </c>
      <c r="D26" s="379">
        <f>'Test-1'!$AA38</f>
        <v>75.55403242777236</v>
      </c>
      <c r="E26" s="379" t="e">
        <f>'Test-2'!$AA38</f>
        <v>#DIV/0!</v>
      </c>
      <c r="F26" s="379" t="e">
        <f>'Test-3'!$AA38</f>
        <v>#DIV/0!</v>
      </c>
      <c r="G26" s="379" t="e">
        <f>'Test-4'!$AA38</f>
        <v>#DIV/0!</v>
      </c>
      <c r="H26" s="379" t="e">
        <f>'Test-5'!$AA38</f>
        <v>#DIV/0!</v>
      </c>
      <c r="I26" s="379" t="e">
        <f>'Test-6'!$AA38</f>
        <v>#DIV/0!</v>
      </c>
      <c r="J26" s="379" t="e">
        <f>'Test-7'!$AA38</f>
        <v>#DIV/0!</v>
      </c>
      <c r="K26" s="379" t="e">
        <f>'Test-8'!$AA38</f>
        <v>#DIV/0!</v>
      </c>
      <c r="L26" s="379" t="e">
        <f>'Test-9'!$AA38</f>
        <v>#DIV/0!</v>
      </c>
      <c r="M26" s="379" t="e">
        <f>'Test-10'!$AA38</f>
        <v>#DIV/0!</v>
      </c>
      <c r="N26" s="560">
        <f t="shared" si="3"/>
        <v>75.55403242777236</v>
      </c>
      <c r="O26" s="380" t="e">
        <f t="shared" si="4"/>
        <v>#DIV/0!</v>
      </c>
      <c r="P26" s="358" t="e">
        <f t="shared" si="5"/>
        <v>#DIV/0!</v>
      </c>
      <c r="Q26" s="131"/>
    </row>
    <row r="27" spans="1:18" ht="12.75">
      <c r="A27" s="128"/>
      <c r="B27" s="138" t="s">
        <v>196</v>
      </c>
      <c r="C27" s="144" t="s">
        <v>172</v>
      </c>
      <c r="D27" s="379">
        <f>'Test-1'!$AA39</f>
        <v>1391.251953125</v>
      </c>
      <c r="E27" s="379" t="e">
        <f>'Test-2'!$AA39</f>
        <v>#DIV/0!</v>
      </c>
      <c r="F27" s="379" t="e">
        <f>'Test-3'!$AA39</f>
        <v>#DIV/0!</v>
      </c>
      <c r="G27" s="379" t="e">
        <f>'Test-4'!$AA39</f>
        <v>#DIV/0!</v>
      </c>
      <c r="H27" s="379" t="e">
        <f>'Test-5'!$AA39</f>
        <v>#DIV/0!</v>
      </c>
      <c r="I27" s="379" t="e">
        <f>'Test-6'!$AA39</f>
        <v>#DIV/0!</v>
      </c>
      <c r="J27" s="379" t="e">
        <f>'Test-7'!$AA39</f>
        <v>#DIV/0!</v>
      </c>
      <c r="K27" s="379" t="e">
        <f>'Test-8'!$AA39</f>
        <v>#DIV/0!</v>
      </c>
      <c r="L27" s="379" t="e">
        <f>'Test-9'!$AA39</f>
        <v>#DIV/0!</v>
      </c>
      <c r="M27" s="379" t="e">
        <f>'Test-10'!$AA39</f>
        <v>#DIV/0!</v>
      </c>
      <c r="N27" s="560">
        <f t="shared" si="3"/>
        <v>1391.251953125</v>
      </c>
      <c r="O27" s="380" t="e">
        <f t="shared" si="4"/>
        <v>#DIV/0!</v>
      </c>
      <c r="P27" s="358" t="e">
        <f t="shared" si="5"/>
        <v>#DIV/0!</v>
      </c>
      <c r="Q27" s="131"/>
      <c r="R27" s="145"/>
    </row>
    <row r="28" spans="1:18" ht="12.75">
      <c r="A28" s="128"/>
      <c r="B28" s="141" t="s">
        <v>163</v>
      </c>
      <c r="C28" s="142" t="s">
        <v>164</v>
      </c>
      <c r="D28" s="383">
        <f>'Test-1'!$AA40</f>
        <v>5161.746376811594</v>
      </c>
      <c r="E28" s="383" t="e">
        <f>'Test-2'!$AA40</f>
        <v>#DIV/0!</v>
      </c>
      <c r="F28" s="383" t="e">
        <f>'Test-3'!$AA40</f>
        <v>#DIV/0!</v>
      </c>
      <c r="G28" s="383" t="e">
        <f>'Test-4'!$AA40</f>
        <v>#DIV/0!</v>
      </c>
      <c r="H28" s="383" t="e">
        <f>'Test-5'!$AA40</f>
        <v>#DIV/0!</v>
      </c>
      <c r="I28" s="383" t="e">
        <f>'Test-6'!$AA40</f>
        <v>#DIV/0!</v>
      </c>
      <c r="J28" s="383" t="e">
        <f>'Test-7'!$AA40</f>
        <v>#DIV/0!</v>
      </c>
      <c r="K28" s="383" t="e">
        <f>'Test-8'!$AA40</f>
        <v>#DIV/0!</v>
      </c>
      <c r="L28" s="383" t="e">
        <f>'Test-9'!$AA40</f>
        <v>#DIV/0!</v>
      </c>
      <c r="M28" s="383" t="e">
        <f>'Test-10'!$AA40</f>
        <v>#DIV/0!</v>
      </c>
      <c r="N28" s="561">
        <f t="shared" si="3"/>
        <v>5161.746376811594</v>
      </c>
      <c r="O28" s="384" t="e">
        <f t="shared" si="4"/>
        <v>#DIV/0!</v>
      </c>
      <c r="P28" s="359" t="e">
        <f t="shared" si="5"/>
        <v>#DIV/0!</v>
      </c>
      <c r="Q28" s="131"/>
      <c r="R28" s="145"/>
    </row>
    <row r="29" spans="1:18" ht="12.75">
      <c r="A29" s="128"/>
      <c r="B29" s="129"/>
      <c r="C29" s="132"/>
      <c r="D29" s="125"/>
      <c r="E29" s="125"/>
      <c r="F29" s="125"/>
      <c r="G29" s="125"/>
      <c r="H29" s="125"/>
      <c r="I29" s="125"/>
      <c r="J29" s="125"/>
      <c r="K29" s="125"/>
      <c r="L29" s="125"/>
      <c r="M29" s="125"/>
      <c r="N29" s="385"/>
      <c r="P29" s="360"/>
      <c r="Q29" s="131"/>
      <c r="R29" s="145"/>
    </row>
    <row r="30" spans="1:18" ht="12.75">
      <c r="A30" s="128"/>
      <c r="B30" s="133" t="s">
        <v>198</v>
      </c>
      <c r="C30" s="134" t="s">
        <v>90</v>
      </c>
      <c r="D30" s="386" t="s">
        <v>188</v>
      </c>
      <c r="E30" s="386" t="s">
        <v>189</v>
      </c>
      <c r="F30" s="386" t="s">
        <v>190</v>
      </c>
      <c r="G30" s="135" t="s">
        <v>1011</v>
      </c>
      <c r="H30" s="135" t="s">
        <v>1012</v>
      </c>
      <c r="I30" s="135" t="s">
        <v>1013</v>
      </c>
      <c r="J30" s="135" t="s">
        <v>1014</v>
      </c>
      <c r="K30" s="135" t="s">
        <v>1015</v>
      </c>
      <c r="L30" s="135" t="s">
        <v>1016</v>
      </c>
      <c r="M30" s="135" t="s">
        <v>1017</v>
      </c>
      <c r="N30" s="408" t="s">
        <v>191</v>
      </c>
      <c r="O30" s="409" t="s">
        <v>192</v>
      </c>
      <c r="P30" s="361" t="s">
        <v>193</v>
      </c>
      <c r="Q30" s="131"/>
      <c r="R30" s="145"/>
    </row>
    <row r="31" spans="1:18" ht="12.75">
      <c r="A31" s="128"/>
      <c r="B31" s="138" t="s">
        <v>153</v>
      </c>
      <c r="C31" s="132" t="s">
        <v>154</v>
      </c>
      <c r="D31" s="379">
        <f>'Test-1'!$AP35</f>
        <v>7.353740511446604</v>
      </c>
      <c r="E31" s="379" t="e">
        <f>'Test-2'!$AP35</f>
        <v>#DIV/0!</v>
      </c>
      <c r="F31" s="379" t="e">
        <f>'Test-3'!$AP35</f>
        <v>#DIV/0!</v>
      </c>
      <c r="G31" s="379" t="e">
        <f>'Test-4'!$AP35</f>
        <v>#DIV/0!</v>
      </c>
      <c r="H31" s="379" t="e">
        <f>'Test-5'!$AP35</f>
        <v>#DIV/0!</v>
      </c>
      <c r="I31" s="379" t="e">
        <f>'Test-6'!$AP35</f>
        <v>#DIV/0!</v>
      </c>
      <c r="J31" s="379" t="e">
        <f>'Test-7'!$AP35</f>
        <v>#DIV/0!</v>
      </c>
      <c r="K31" s="379" t="e">
        <f>'Test-8'!$AP35</f>
        <v>#DIV/0!</v>
      </c>
      <c r="L31" s="379" t="e">
        <f>'Test-9'!$AP35</f>
        <v>#DIV/0!</v>
      </c>
      <c r="M31" s="379" t="e">
        <f>'Test-10'!$AP35</f>
        <v>#DIV/0!</v>
      </c>
      <c r="N31" s="553">
        <f aca="true" t="shared" si="6" ref="N31:N36">SUMIF(D31:M31,"&gt;0",D31:M31)/COUNTIF(D31:M31,"&gt;0")</f>
        <v>7.353740511446604</v>
      </c>
      <c r="O31" s="410" t="e">
        <f aca="true" t="shared" si="7" ref="O31:O36">IF(PRODUCT(D31:M31)=0,0,STDEV(D31:M31))</f>
        <v>#DIV/0!</v>
      </c>
      <c r="P31" s="358" t="e">
        <f aca="true" t="shared" si="8" ref="P31:P36">IF(N31=0,0,O31/N31)</f>
        <v>#DIV/0!</v>
      </c>
      <c r="Q31" s="131"/>
      <c r="R31" s="145"/>
    </row>
    <row r="32" spans="1:18" ht="12.75">
      <c r="A32" s="128"/>
      <c r="B32" s="138" t="s">
        <v>149</v>
      </c>
      <c r="C32" s="132" t="s">
        <v>113</v>
      </c>
      <c r="D32" s="381">
        <f>'Test-1'!$AP34</f>
        <v>0.27741628497767307</v>
      </c>
      <c r="E32" s="381" t="e">
        <f>'Test-2'!$AP34</f>
        <v>#DIV/0!</v>
      </c>
      <c r="F32" s="381" t="e">
        <f>'Test-3'!$AP34</f>
        <v>#DIV/0!</v>
      </c>
      <c r="G32" s="381" t="e">
        <f>'Test-4'!$AP34</f>
        <v>#DIV/0!</v>
      </c>
      <c r="H32" s="381" t="e">
        <f>'Test-5'!$AP34</f>
        <v>#DIV/0!</v>
      </c>
      <c r="I32" s="381" t="e">
        <f>'Test-6'!$AP34</f>
        <v>#DIV/0!</v>
      </c>
      <c r="J32" s="381" t="e">
        <f>'Test-7'!$AP34</f>
        <v>#DIV/0!</v>
      </c>
      <c r="K32" s="381" t="e">
        <f>'Test-8'!$AP34</f>
        <v>#DIV/0!</v>
      </c>
      <c r="L32" s="381" t="e">
        <f>'Test-9'!$AP34</f>
        <v>#DIV/0!</v>
      </c>
      <c r="M32" s="381" t="e">
        <f>'Test-10'!$AP34</f>
        <v>#DIV/0!</v>
      </c>
      <c r="N32" s="557">
        <f t="shared" si="6"/>
        <v>0.27741628497767307</v>
      </c>
      <c r="O32" s="414" t="e">
        <f t="shared" si="7"/>
        <v>#DIV/0!</v>
      </c>
      <c r="P32" s="358" t="e">
        <f t="shared" si="8"/>
        <v>#DIV/0!</v>
      </c>
      <c r="Q32" s="131"/>
      <c r="R32" s="145"/>
    </row>
    <row r="33" spans="1:18" ht="12.75">
      <c r="A33" s="128"/>
      <c r="B33" s="138" t="s">
        <v>158</v>
      </c>
      <c r="C33" s="132" t="s">
        <v>159</v>
      </c>
      <c r="D33" s="379">
        <f>'Test-1'!$AP36</f>
        <v>82.83312215646988</v>
      </c>
      <c r="E33" s="379" t="e">
        <f>'Test-2'!$AP36</f>
        <v>#DIV/0!</v>
      </c>
      <c r="F33" s="379" t="e">
        <f>'Test-3'!$AP36</f>
        <v>#DIV/0!</v>
      </c>
      <c r="G33" s="379" t="e">
        <f>'Test-4'!$AP36</f>
        <v>#DIV/0!</v>
      </c>
      <c r="H33" s="379" t="e">
        <f>'Test-5'!$AP36</f>
        <v>#DIV/0!</v>
      </c>
      <c r="I33" s="379" t="e">
        <f>'Test-6'!$AP36</f>
        <v>#DIV/0!</v>
      </c>
      <c r="J33" s="379" t="e">
        <f>'Test-7'!$AP36</f>
        <v>#DIV/0!</v>
      </c>
      <c r="K33" s="379" t="e">
        <f>'Test-8'!$AP36</f>
        <v>#DIV/0!</v>
      </c>
      <c r="L33" s="379" t="e">
        <f>'Test-9'!$AP36</f>
        <v>#DIV/0!</v>
      </c>
      <c r="M33" s="379" t="e">
        <f>'Test-10'!$AP36</f>
        <v>#DIV/0!</v>
      </c>
      <c r="N33" s="554">
        <f t="shared" si="6"/>
        <v>82.83312215646988</v>
      </c>
      <c r="O33" s="411" t="e">
        <f t="shared" si="7"/>
        <v>#DIV/0!</v>
      </c>
      <c r="P33" s="358" t="e">
        <f t="shared" si="8"/>
        <v>#DIV/0!</v>
      </c>
      <c r="Q33" s="131"/>
      <c r="R33" s="145"/>
    </row>
    <row r="34" spans="1:18" ht="12.75">
      <c r="A34" s="128"/>
      <c r="B34" s="138" t="s">
        <v>196</v>
      </c>
      <c r="C34" s="132" t="s">
        <v>172</v>
      </c>
      <c r="D34" s="379">
        <f>'Test-1'!$AP39</f>
        <v>1525.2891113892365</v>
      </c>
      <c r="E34" s="379" t="e">
        <f>'Test-2'!$AP39</f>
        <v>#DIV/0!</v>
      </c>
      <c r="F34" s="379" t="e">
        <f>'Test-3'!$AP39</f>
        <v>#DIV/0!</v>
      </c>
      <c r="G34" s="379" t="e">
        <f>'Test-4'!$AP39</f>
        <v>#DIV/0!</v>
      </c>
      <c r="H34" s="379" t="e">
        <f>'Test-5'!$AP39</f>
        <v>#DIV/0!</v>
      </c>
      <c r="I34" s="379" t="e">
        <f>'Test-6'!$AP39</f>
        <v>#DIV/0!</v>
      </c>
      <c r="J34" s="379" t="e">
        <f>'Test-7'!$AP39</f>
        <v>#DIV/0!</v>
      </c>
      <c r="K34" s="379" t="e">
        <f>'Test-8'!$AP39</f>
        <v>#DIV/0!</v>
      </c>
      <c r="L34" s="379" t="e">
        <f>'Test-9'!$AP39</f>
        <v>#DIV/0!</v>
      </c>
      <c r="M34" s="379" t="e">
        <f>'Test-10'!$AP39</f>
        <v>#DIV/0!</v>
      </c>
      <c r="N34" s="554">
        <f t="shared" si="6"/>
        <v>1525.2891113892365</v>
      </c>
      <c r="O34" s="411" t="e">
        <f t="shared" si="7"/>
        <v>#DIV/0!</v>
      </c>
      <c r="P34" s="358" t="e">
        <f t="shared" si="8"/>
        <v>#DIV/0!</v>
      </c>
      <c r="Q34" s="131"/>
      <c r="R34" s="145"/>
    </row>
    <row r="35" spans="1:18" ht="12.75">
      <c r="A35" s="128"/>
      <c r="B35" s="138" t="s">
        <v>163</v>
      </c>
      <c r="C35" s="132" t="s">
        <v>164</v>
      </c>
      <c r="D35" s="379">
        <f>'Test-1'!$AP37</f>
        <v>2256.862962962963</v>
      </c>
      <c r="E35" s="379" t="e">
        <f>'Test-2'!$AP37</f>
        <v>#DIV/0!</v>
      </c>
      <c r="F35" s="379" t="e">
        <f>'Test-3'!$AP37</f>
        <v>#DIV/0!</v>
      </c>
      <c r="G35" s="379" t="e">
        <f>'Test-4'!$AP37</f>
        <v>#DIV/0!</v>
      </c>
      <c r="H35" s="379" t="e">
        <f>'Test-5'!$AP37</f>
        <v>#DIV/0!</v>
      </c>
      <c r="I35" s="379" t="e">
        <f>'Test-6'!$AP37</f>
        <v>#DIV/0!</v>
      </c>
      <c r="J35" s="379" t="e">
        <f>'Test-7'!$AP37</f>
        <v>#DIV/0!</v>
      </c>
      <c r="K35" s="379" t="e">
        <f>'Test-8'!$AP37</f>
        <v>#DIV/0!</v>
      </c>
      <c r="L35" s="379" t="e">
        <f>'Test-9'!$AP37</f>
        <v>#DIV/0!</v>
      </c>
      <c r="M35" s="379" t="e">
        <f>'Test-10'!$AP37</f>
        <v>#DIV/0!</v>
      </c>
      <c r="N35" s="554">
        <f t="shared" si="6"/>
        <v>2256.862962962963</v>
      </c>
      <c r="O35" s="411" t="e">
        <f t="shared" si="7"/>
        <v>#DIV/0!</v>
      </c>
      <c r="P35" s="358" t="e">
        <f t="shared" si="8"/>
        <v>#DIV/0!</v>
      </c>
      <c r="Q35" s="131"/>
      <c r="R35" s="145"/>
    </row>
    <row r="36" spans="1:18" ht="12.75">
      <c r="A36" s="128"/>
      <c r="B36" s="141" t="s">
        <v>169</v>
      </c>
      <c r="C36" s="142" t="s">
        <v>92</v>
      </c>
      <c r="D36" s="389">
        <f>'Test-1'!$AP38</f>
        <v>1.4588342061169812</v>
      </c>
      <c r="E36" s="389" t="e">
        <f>'Test-2'!$AP38</f>
        <v>#DIV/0!</v>
      </c>
      <c r="F36" s="389" t="e">
        <f>'Test-3'!$AP38</f>
        <v>#DIV/0!</v>
      </c>
      <c r="G36" s="389" t="e">
        <f>'Test-4'!$AP38</f>
        <v>#DIV/0!</v>
      </c>
      <c r="H36" s="389" t="e">
        <f>'Test-5'!$AP38</f>
        <v>#DIV/0!</v>
      </c>
      <c r="I36" s="389" t="e">
        <f>'Test-6'!$AP38</f>
        <v>#DIV/0!</v>
      </c>
      <c r="J36" s="389" t="e">
        <f>'Test-7'!$AP38</f>
        <v>#DIV/0!</v>
      </c>
      <c r="K36" s="389" t="e">
        <f>'Test-8'!$AP38</f>
        <v>#DIV/0!</v>
      </c>
      <c r="L36" s="389" t="e">
        <f>'Test-9'!$AP38</f>
        <v>#DIV/0!</v>
      </c>
      <c r="M36" s="389" t="e">
        <f>'Test-10'!$AP38</f>
        <v>#DIV/0!</v>
      </c>
      <c r="N36" s="558">
        <f t="shared" si="6"/>
        <v>1.4588342061169812</v>
      </c>
      <c r="O36" s="415" t="e">
        <f t="shared" si="7"/>
        <v>#DIV/0!</v>
      </c>
      <c r="P36" s="359" t="e">
        <f t="shared" si="8"/>
        <v>#DIV/0!</v>
      </c>
      <c r="Q36" s="131"/>
      <c r="R36" s="145"/>
    </row>
    <row r="37" spans="1:18" ht="12.75">
      <c r="A37" s="128"/>
      <c r="B37" s="139"/>
      <c r="C37" s="132"/>
      <c r="D37" s="146"/>
      <c r="E37" s="146"/>
      <c r="F37" s="146"/>
      <c r="G37" s="146"/>
      <c r="H37" s="146"/>
      <c r="I37" s="146"/>
      <c r="J37" s="146"/>
      <c r="K37" s="146"/>
      <c r="L37" s="146"/>
      <c r="M37" s="146"/>
      <c r="N37" s="147"/>
      <c r="O37" s="148"/>
      <c r="P37" s="360"/>
      <c r="Q37" s="131"/>
      <c r="R37" s="145"/>
    </row>
    <row r="38" spans="1:18" ht="12.75">
      <c r="A38" s="128"/>
      <c r="B38" s="331" t="s">
        <v>199</v>
      </c>
      <c r="C38" s="332"/>
      <c r="D38" s="386" t="s">
        <v>188</v>
      </c>
      <c r="E38" s="386" t="s">
        <v>189</v>
      </c>
      <c r="F38" s="386" t="s">
        <v>190</v>
      </c>
      <c r="G38" s="135" t="s">
        <v>1011</v>
      </c>
      <c r="H38" s="135" t="s">
        <v>1012</v>
      </c>
      <c r="I38" s="135" t="s">
        <v>1013</v>
      </c>
      <c r="J38" s="135" t="s">
        <v>1014</v>
      </c>
      <c r="K38" s="135" t="s">
        <v>1015</v>
      </c>
      <c r="L38" s="135" t="s">
        <v>1016</v>
      </c>
      <c r="M38" s="135" t="s">
        <v>1017</v>
      </c>
      <c r="N38" s="408" t="s">
        <v>191</v>
      </c>
      <c r="O38" s="409" t="s">
        <v>192</v>
      </c>
      <c r="P38" s="361" t="s">
        <v>193</v>
      </c>
      <c r="Q38" s="131"/>
      <c r="R38" s="145"/>
    </row>
    <row r="39" spans="1:18" ht="12.75">
      <c r="A39" s="128"/>
      <c r="B39" s="138" t="s">
        <v>200</v>
      </c>
      <c r="C39" s="132" t="s">
        <v>20</v>
      </c>
      <c r="D39" s="379">
        <f>'Test-1'!$AP40</f>
        <v>761.8516685114156</v>
      </c>
      <c r="E39" s="379" t="e">
        <f>'Test-2'!$AP40</f>
        <v>#DIV/0!</v>
      </c>
      <c r="F39" s="379" t="e">
        <f>'Test-3'!$AP40</f>
        <v>#DIV/0!</v>
      </c>
      <c r="G39" s="379" t="e">
        <f>'Test-4'!$AP40</f>
        <v>#DIV/0!</v>
      </c>
      <c r="H39" s="379" t="e">
        <f>'Test-5'!$AP40</f>
        <v>#DIV/0!</v>
      </c>
      <c r="I39" s="379" t="e">
        <f>'Test-6'!$AP40</f>
        <v>#DIV/0!</v>
      </c>
      <c r="J39" s="379" t="e">
        <f>'Test-7'!$AP40</f>
        <v>#DIV/0!</v>
      </c>
      <c r="K39" s="379" t="e">
        <f>'Test-8'!$AP40</f>
        <v>#DIV/0!</v>
      </c>
      <c r="L39" s="379" t="e">
        <f>'Test-9'!$AP40</f>
        <v>#DIV/0!</v>
      </c>
      <c r="M39" s="379" t="e">
        <f>'Test-10'!$AP40</f>
        <v>#DIV/0!</v>
      </c>
      <c r="N39" s="553">
        <f>SUMIF(D39:M39,"&gt;0",D39:M39)/COUNTIF(D39:M39,"&gt;0")</f>
        <v>761.8516685114156</v>
      </c>
      <c r="O39" s="410" t="e">
        <f>IF(PRODUCT(D39:M39)=0,0,STDEV(D39:M39))</f>
        <v>#DIV/0!</v>
      </c>
      <c r="P39" s="358" t="e">
        <f>IF(N39=0,0,O39/N39)</f>
        <v>#DIV/0!</v>
      </c>
      <c r="Q39" s="131"/>
      <c r="R39" s="145"/>
    </row>
    <row r="40" spans="1:18" ht="12.75">
      <c r="A40" s="128"/>
      <c r="B40" s="138" t="s">
        <v>201</v>
      </c>
      <c r="C40" s="158" t="s">
        <v>182</v>
      </c>
      <c r="D40" s="379">
        <f>'Test-1'!$AP41</f>
        <v>14028.736623969207</v>
      </c>
      <c r="E40" s="379" t="e">
        <f>'Test-2'!$AP41</f>
        <v>#DIV/0!</v>
      </c>
      <c r="F40" s="379" t="e">
        <f>'Test-3'!$AP41</f>
        <v>#DIV/0!</v>
      </c>
      <c r="G40" s="379" t="e">
        <f>'Test-4'!$AP41</f>
        <v>#DIV/0!</v>
      </c>
      <c r="H40" s="379" t="e">
        <f>'Test-5'!$AP41</f>
        <v>#DIV/0!</v>
      </c>
      <c r="I40" s="379" t="e">
        <f>'Test-6'!$AP41</f>
        <v>#DIV/0!</v>
      </c>
      <c r="J40" s="379" t="e">
        <f>'Test-7'!$AP41</f>
        <v>#DIV/0!</v>
      </c>
      <c r="K40" s="379" t="e">
        <f>'Test-8'!$AP41</f>
        <v>#DIV/0!</v>
      </c>
      <c r="L40" s="379" t="e">
        <f>'Test-9'!$AP41</f>
        <v>#DIV/0!</v>
      </c>
      <c r="M40" s="379" t="e">
        <f>'Test-10'!$AP41</f>
        <v>#DIV/0!</v>
      </c>
      <c r="N40" s="554">
        <f>SUMIF(D40:M40,"&gt;0",D40:M40)/COUNTIF(D40:M40,"&gt;0")</f>
        <v>14028.736623969207</v>
      </c>
      <c r="O40" s="411" t="e">
        <f>IF(PRODUCT(D40:M40)=0,0,STDEV(D40:M40))</f>
        <v>#DIV/0!</v>
      </c>
      <c r="P40" s="358" t="e">
        <f>IF(N40=0,0,O40/N40)</f>
        <v>#DIV/0!</v>
      </c>
      <c r="Q40" s="131"/>
      <c r="R40" s="145"/>
    </row>
    <row r="41" spans="1:17" ht="12" customHeight="1">
      <c r="A41" s="128"/>
      <c r="B41" s="313" t="s">
        <v>822</v>
      </c>
      <c r="C41" s="158" t="s">
        <v>20</v>
      </c>
      <c r="D41" s="385" t="e">
        <f>'Test-1'!W77</f>
        <v>#DIV/0!</v>
      </c>
      <c r="E41" s="385" t="e">
        <f>'Test-2'!W77</f>
        <v>#DIV/0!</v>
      </c>
      <c r="F41" s="385" t="e">
        <f>'Test-3'!W77</f>
        <v>#DIV/0!</v>
      </c>
      <c r="G41" s="544" t="e">
        <f>'Test-4'!W77</f>
        <v>#DIV/0!</v>
      </c>
      <c r="H41" s="544" t="e">
        <f>'Test-5'!W77</f>
        <v>#DIV/0!</v>
      </c>
      <c r="I41" s="544" t="e">
        <f>'Test-6'!W77</f>
        <v>#DIV/0!</v>
      </c>
      <c r="J41" s="544" t="e">
        <f>'Test-7'!W77</f>
        <v>#DIV/0!</v>
      </c>
      <c r="K41" s="544" t="e">
        <f>'Test-8'!W77</f>
        <v>#DIV/0!</v>
      </c>
      <c r="L41" s="544" t="e">
        <f>'Test-9'!W77</f>
        <v>#DIV/0!</v>
      </c>
      <c r="M41" s="544" t="e">
        <f>'Test-10'!W77</f>
        <v>#DIV/0!</v>
      </c>
      <c r="N41" s="555" t="e">
        <f>SUMIF(D41:M41,"&gt;0",D41:M41)/COUNTIF(D41:M41,"&gt;0")</f>
        <v>#DIV/0!</v>
      </c>
      <c r="O41" s="412" t="e">
        <f>IF(PRODUCT(D41:M41)=0,0,STDEV(D41:M41))</f>
        <v>#DIV/0!</v>
      </c>
      <c r="P41" s="358" t="e">
        <f>IF(N41=0,0,O41/N41)</f>
        <v>#DIV/0!</v>
      </c>
      <c r="Q41" s="131"/>
    </row>
    <row r="42" spans="2:16" ht="14.25" customHeight="1">
      <c r="B42" s="314" t="s">
        <v>823</v>
      </c>
      <c r="C42" s="315" t="s">
        <v>20</v>
      </c>
      <c r="D42" s="390" t="e">
        <f>'Test-1'!W78</f>
        <v>#DIV/0!</v>
      </c>
      <c r="E42" s="390" t="e">
        <f>'Test-2'!W78</f>
        <v>#DIV/0!</v>
      </c>
      <c r="F42" s="390" t="e">
        <f>'Test-3'!W78</f>
        <v>#DIV/0!</v>
      </c>
      <c r="G42" s="545" t="e">
        <f>'Test-4'!W78</f>
        <v>#DIV/0!</v>
      </c>
      <c r="H42" s="545" t="e">
        <f>'Test-5'!W78</f>
        <v>#DIV/0!</v>
      </c>
      <c r="I42" s="545" t="e">
        <f>'Test-6'!W78</f>
        <v>#DIV/0!</v>
      </c>
      <c r="J42" s="545" t="e">
        <f>'Test-7'!W78</f>
        <v>#DIV/0!</v>
      </c>
      <c r="K42" s="545" t="e">
        <f>'Test-8'!W78</f>
        <v>#DIV/0!</v>
      </c>
      <c r="L42" s="545" t="e">
        <f>'Test-9'!W78</f>
        <v>#DIV/0!</v>
      </c>
      <c r="M42" s="545" t="e">
        <f>'Test-10'!W78</f>
        <v>#DIV/0!</v>
      </c>
      <c r="N42" s="556" t="e">
        <f>SUMIF(D42:M42,"&gt;0",D42:M42)/COUNTIF(D42:M42,"&gt;0")</f>
        <v>#DIV/0!</v>
      </c>
      <c r="O42" s="413" t="e">
        <f>IF(PRODUCT(D42:M42)=0,0,STDEV(D42:M42))</f>
        <v>#DIV/0!</v>
      </c>
      <c r="P42" s="359" t="e">
        <f>IF(N42=0,0,O42/N42)</f>
        <v>#DIV/0!</v>
      </c>
    </row>
    <row r="43" spans="2:16" ht="13.5" customHeight="1">
      <c r="B43" s="139"/>
      <c r="C43" s="132"/>
      <c r="D43" s="146"/>
      <c r="E43" s="146"/>
      <c r="F43" s="146"/>
      <c r="G43" s="146"/>
      <c r="H43" s="146"/>
      <c r="I43" s="146"/>
      <c r="J43" s="146"/>
      <c r="K43" s="146"/>
      <c r="L43" s="146"/>
      <c r="M43" s="146"/>
      <c r="N43" s="147"/>
      <c r="O43" s="148"/>
      <c r="P43" s="355"/>
    </row>
    <row r="44" spans="2:16" ht="14.25" customHeight="1">
      <c r="B44" s="316" t="s">
        <v>868</v>
      </c>
      <c r="C44" s="317" t="s">
        <v>90</v>
      </c>
      <c r="D44" s="318" t="s">
        <v>188</v>
      </c>
      <c r="E44" s="318" t="s">
        <v>189</v>
      </c>
      <c r="F44" s="318" t="s">
        <v>190</v>
      </c>
      <c r="G44" s="135" t="s">
        <v>1011</v>
      </c>
      <c r="H44" s="135" t="s">
        <v>1012</v>
      </c>
      <c r="I44" s="135" t="s">
        <v>1013</v>
      </c>
      <c r="J44" s="135" t="s">
        <v>1014</v>
      </c>
      <c r="K44" s="135" t="s">
        <v>1015</v>
      </c>
      <c r="L44" s="135" t="s">
        <v>1016</v>
      </c>
      <c r="M44" s="135" t="s">
        <v>1017</v>
      </c>
      <c r="N44" s="319" t="s">
        <v>191</v>
      </c>
      <c r="O44" s="320" t="s">
        <v>192</v>
      </c>
      <c r="P44" s="362" t="s">
        <v>193</v>
      </c>
    </row>
    <row r="45" spans="2:16" ht="14.25" customHeight="1">
      <c r="B45" s="311" t="s">
        <v>835</v>
      </c>
      <c r="C45" s="312" t="s">
        <v>840</v>
      </c>
      <c r="D45" s="339">
        <f>'Test-1'!AE44</f>
        <v>0.3381959988927702</v>
      </c>
      <c r="E45" s="339" t="e">
        <f>'Test-2'!AE44</f>
        <v>#DIV/0!</v>
      </c>
      <c r="F45" s="339" t="e">
        <f>'Test-3'!AE44</f>
        <v>#DIV/0!</v>
      </c>
      <c r="G45" s="339" t="e">
        <f>'Test-4'!AE44</f>
        <v>#DIV/0!</v>
      </c>
      <c r="H45" s="339" t="e">
        <f>'Test-5'!AE44</f>
        <v>#DIV/0!</v>
      </c>
      <c r="I45" s="339" t="e">
        <f>'Test-6'!AE44</f>
        <v>#DIV/0!</v>
      </c>
      <c r="J45" s="339" t="e">
        <f>'Test-7'!AE44</f>
        <v>#DIV/0!</v>
      </c>
      <c r="K45" s="339" t="e">
        <f>'Test-8'!AE44</f>
        <v>#DIV/0!</v>
      </c>
      <c r="L45" s="339" t="e">
        <f>'Test-9'!AE44</f>
        <v>#DIV/0!</v>
      </c>
      <c r="M45" s="339" t="e">
        <f>'Test-10'!AE44</f>
        <v>#DIV/0!</v>
      </c>
      <c r="N45" s="548">
        <f aca="true" t="shared" si="9" ref="N45:N52">SUMIF(D45:M45,"&gt;0",D45:M45)/COUNTIF(D45:M45,"&gt;0")</f>
        <v>0.3381959988927702</v>
      </c>
      <c r="O45" s="417" t="e">
        <f aca="true" t="shared" si="10" ref="O45:O52">IF(PRODUCT(D45:M45)=0,0,STDEV(D45:M45))</f>
        <v>#DIV/0!</v>
      </c>
      <c r="P45" s="416" t="e">
        <f aca="true" t="shared" si="11" ref="P45:P52">IF(N45=0,0,O45/N45)</f>
        <v>#DIV/0!</v>
      </c>
    </row>
    <row r="46" spans="2:16" ht="14.25" customHeight="1">
      <c r="B46" s="138" t="s">
        <v>836</v>
      </c>
      <c r="C46" s="158" t="s">
        <v>843</v>
      </c>
      <c r="D46" s="340">
        <f>'Test-1'!AE45</f>
        <v>0.03389531358642748</v>
      </c>
      <c r="E46" s="340" t="e">
        <f>'Test-2'!AE45</f>
        <v>#DIV/0!</v>
      </c>
      <c r="F46" s="340" t="e">
        <f>'Test-3'!AE45</f>
        <v>#DIV/0!</v>
      </c>
      <c r="G46" s="340" t="e">
        <f>'Test-4'!AE45</f>
        <v>#DIV/0!</v>
      </c>
      <c r="H46" s="340" t="e">
        <f>'Test-5'!AE45</f>
        <v>#DIV/0!</v>
      </c>
      <c r="I46" s="340" t="e">
        <f>'Test-6'!AE45</f>
        <v>#DIV/0!</v>
      </c>
      <c r="J46" s="340" t="e">
        <f>'Test-7'!AE45</f>
        <v>#DIV/0!</v>
      </c>
      <c r="K46" s="340" t="e">
        <f>'Test-8'!AE45</f>
        <v>#DIV/0!</v>
      </c>
      <c r="L46" s="340" t="e">
        <f>'Test-9'!AE45</f>
        <v>#DIV/0!</v>
      </c>
      <c r="M46" s="340" t="e">
        <f>'Test-10'!AE45</f>
        <v>#DIV/0!</v>
      </c>
      <c r="N46" s="549">
        <f t="shared" si="9"/>
        <v>0.03389531358642748</v>
      </c>
      <c r="O46" s="418" t="e">
        <f t="shared" si="10"/>
        <v>#DIV/0!</v>
      </c>
      <c r="P46" s="358" t="e">
        <f t="shared" si="11"/>
        <v>#DIV/0!</v>
      </c>
    </row>
    <row r="47" spans="1:16" ht="12.75">
      <c r="A47" s="306"/>
      <c r="B47" s="313" t="s">
        <v>855</v>
      </c>
      <c r="C47" s="158" t="s">
        <v>837</v>
      </c>
      <c r="D47" s="143" t="e">
        <f>'Test-1'!AE46</f>
        <v>#DIV/0!</v>
      </c>
      <c r="E47" s="143" t="e">
        <f>'Test-2'!AE46</f>
        <v>#DIV/0!</v>
      </c>
      <c r="F47" s="143" t="e">
        <f>'Test-3'!AE46</f>
        <v>#DIV/0!</v>
      </c>
      <c r="G47" s="143" t="e">
        <f>'Test-4'!AE46</f>
        <v>#DIV/0!</v>
      </c>
      <c r="H47" s="143" t="e">
        <f>'Test-5'!AE46</f>
        <v>#DIV/0!</v>
      </c>
      <c r="I47" s="143" t="e">
        <f>'Test-6'!AE46</f>
        <v>#DIV/0!</v>
      </c>
      <c r="J47" s="143" t="e">
        <f>'Test-7'!AE46</f>
        <v>#DIV/0!</v>
      </c>
      <c r="K47" s="143" t="e">
        <f>'Test-8'!AE46</f>
        <v>#DIV/0!</v>
      </c>
      <c r="L47" s="143" t="e">
        <f>'Test-9'!AE46</f>
        <v>#DIV/0!</v>
      </c>
      <c r="M47" s="143" t="e">
        <f>'Test-10'!AE46</f>
        <v>#DIV/0!</v>
      </c>
      <c r="N47" s="550" t="e">
        <f t="shared" si="9"/>
        <v>#DIV/0!</v>
      </c>
      <c r="O47" s="419" t="e">
        <f t="shared" si="10"/>
        <v>#DIV/0!</v>
      </c>
      <c r="P47" s="358" t="e">
        <f t="shared" si="11"/>
        <v>#DIV/0!</v>
      </c>
    </row>
    <row r="48" spans="2:16" ht="12.75">
      <c r="B48" s="313" t="s">
        <v>857</v>
      </c>
      <c r="C48" s="158" t="s">
        <v>841</v>
      </c>
      <c r="D48" s="340" t="e">
        <f>'Test-1'!AE47</f>
        <v>#DIV/0!</v>
      </c>
      <c r="E48" s="340" t="e">
        <f>'Test-2'!AE47</f>
        <v>#DIV/0!</v>
      </c>
      <c r="F48" s="340" t="e">
        <f>'Test-3'!AE47</f>
        <v>#DIV/0!</v>
      </c>
      <c r="G48" s="340" t="e">
        <f>'Test-4'!AE47</f>
        <v>#DIV/0!</v>
      </c>
      <c r="H48" s="340" t="e">
        <f>'Test-5'!AE47</f>
        <v>#DIV/0!</v>
      </c>
      <c r="I48" s="340" t="e">
        <f>'Test-6'!AE47</f>
        <v>#DIV/0!</v>
      </c>
      <c r="J48" s="340" t="e">
        <f>'Test-7'!AE47</f>
        <v>#DIV/0!</v>
      </c>
      <c r="K48" s="340" t="e">
        <f>'Test-8'!AE47</f>
        <v>#DIV/0!</v>
      </c>
      <c r="L48" s="340" t="e">
        <f>'Test-9'!AE47</f>
        <v>#DIV/0!</v>
      </c>
      <c r="M48" s="340" t="e">
        <f>'Test-10'!AE47</f>
        <v>#DIV/0!</v>
      </c>
      <c r="N48" s="549" t="e">
        <f t="shared" si="9"/>
        <v>#DIV/0!</v>
      </c>
      <c r="O48" s="418" t="e">
        <f t="shared" si="10"/>
        <v>#DIV/0!</v>
      </c>
      <c r="P48" s="358" t="e">
        <f t="shared" si="11"/>
        <v>#DIV/0!</v>
      </c>
    </row>
    <row r="49" spans="2:16" ht="12.75">
      <c r="B49" s="313" t="s">
        <v>859</v>
      </c>
      <c r="C49" s="158" t="s">
        <v>842</v>
      </c>
      <c r="D49" s="352" t="e">
        <f>'Test-1'!AE48</f>
        <v>#DIV/0!</v>
      </c>
      <c r="E49" s="352" t="e">
        <f>'Test-2'!AE48</f>
        <v>#DIV/0!</v>
      </c>
      <c r="F49" s="352" t="e">
        <f>'Test-3'!AE48</f>
        <v>#DIV/0!</v>
      </c>
      <c r="G49" s="352" t="e">
        <f>'Test-4'!AE48</f>
        <v>#DIV/0!</v>
      </c>
      <c r="H49" s="352" t="e">
        <f>'Test-5'!AE48</f>
        <v>#DIV/0!</v>
      </c>
      <c r="I49" s="352" t="e">
        <f>'Test-6'!AE48</f>
        <v>#DIV/0!</v>
      </c>
      <c r="J49" s="352" t="e">
        <f>'Test-7'!AE48</f>
        <v>#DIV/0!</v>
      </c>
      <c r="K49" s="352" t="e">
        <f>'Test-8'!AE48</f>
        <v>#DIV/0!</v>
      </c>
      <c r="L49" s="352" t="e">
        <f>'Test-9'!AE48</f>
        <v>#DIV/0!</v>
      </c>
      <c r="M49" s="352" t="e">
        <f>'Test-10'!AE48</f>
        <v>#DIV/0!</v>
      </c>
      <c r="N49" s="551" t="e">
        <f t="shared" si="9"/>
        <v>#DIV/0!</v>
      </c>
      <c r="O49" s="420" t="e">
        <f t="shared" si="10"/>
        <v>#DIV/0!</v>
      </c>
      <c r="P49" s="358" t="e">
        <f t="shared" si="11"/>
        <v>#DIV/0!</v>
      </c>
    </row>
    <row r="50" spans="2:16" ht="12.75">
      <c r="B50" s="313" t="s">
        <v>861</v>
      </c>
      <c r="C50" s="158" t="s">
        <v>844</v>
      </c>
      <c r="D50" s="143" t="e">
        <f>'Test-1'!AE49</f>
        <v>#DIV/0!</v>
      </c>
      <c r="E50" s="143" t="e">
        <f>'Test-2'!AE49</f>
        <v>#DIV/0!</v>
      </c>
      <c r="F50" s="143" t="e">
        <f>'Test-3'!AE49</f>
        <v>#DIV/0!</v>
      </c>
      <c r="G50" s="143" t="e">
        <f>'Test-4'!AE49</f>
        <v>#DIV/0!</v>
      </c>
      <c r="H50" s="143" t="e">
        <f>'Test-5'!AE49</f>
        <v>#DIV/0!</v>
      </c>
      <c r="I50" s="143" t="e">
        <f>'Test-6'!AE49</f>
        <v>#DIV/0!</v>
      </c>
      <c r="J50" s="143" t="e">
        <f>'Test-7'!AE49</f>
        <v>#DIV/0!</v>
      </c>
      <c r="K50" s="143" t="e">
        <f>'Test-8'!AE49</f>
        <v>#DIV/0!</v>
      </c>
      <c r="L50" s="143" t="e">
        <f>'Test-9'!AE49</f>
        <v>#DIV/0!</v>
      </c>
      <c r="M50" s="143" t="e">
        <f>'Test-10'!AE49</f>
        <v>#DIV/0!</v>
      </c>
      <c r="N50" s="550" t="e">
        <f t="shared" si="9"/>
        <v>#DIV/0!</v>
      </c>
      <c r="O50" s="419" t="e">
        <f t="shared" si="10"/>
        <v>#DIV/0!</v>
      </c>
      <c r="P50" s="358" t="e">
        <f t="shared" si="11"/>
        <v>#DIV/0!</v>
      </c>
    </row>
    <row r="51" spans="2:16" ht="12.75">
      <c r="B51" s="313" t="s">
        <v>880</v>
      </c>
      <c r="C51" s="158" t="s">
        <v>154</v>
      </c>
      <c r="D51" s="340" t="e">
        <f>'Test-1'!AE50</f>
        <v>#DIV/0!</v>
      </c>
      <c r="E51" s="340" t="e">
        <f>'Test-2'!AE50</f>
        <v>#DIV/0!</v>
      </c>
      <c r="F51" s="340" t="e">
        <f>'Test-3'!AE50</f>
        <v>#DIV/0!</v>
      </c>
      <c r="G51" s="340" t="e">
        <f>'Test-4'!AE50</f>
        <v>#DIV/0!</v>
      </c>
      <c r="H51" s="340" t="e">
        <f>'Test-5'!AE50</f>
        <v>#DIV/0!</v>
      </c>
      <c r="I51" s="340" t="e">
        <f>'Test-6'!AE50</f>
        <v>#DIV/0!</v>
      </c>
      <c r="J51" s="340" t="e">
        <f>'Test-7'!AE50</f>
        <v>#DIV/0!</v>
      </c>
      <c r="K51" s="340" t="e">
        <f>'Test-8'!AE50</f>
        <v>#DIV/0!</v>
      </c>
      <c r="L51" s="340" t="e">
        <f>'Test-9'!AE50</f>
        <v>#DIV/0!</v>
      </c>
      <c r="M51" s="340" t="e">
        <f>'Test-10'!AE50</f>
        <v>#DIV/0!</v>
      </c>
      <c r="N51" s="549" t="e">
        <f t="shared" si="9"/>
        <v>#DIV/0!</v>
      </c>
      <c r="O51" s="418" t="e">
        <f t="shared" si="10"/>
        <v>#DIV/0!</v>
      </c>
      <c r="P51" s="358" t="e">
        <f t="shared" si="11"/>
        <v>#DIV/0!</v>
      </c>
    </row>
    <row r="52" spans="2:16" ht="15" customHeight="1">
      <c r="B52" s="314" t="s">
        <v>879</v>
      </c>
      <c r="C52" s="315" t="s">
        <v>865</v>
      </c>
      <c r="D52" s="363" t="e">
        <f>'Test-1'!AE51</f>
        <v>#DIV/0!</v>
      </c>
      <c r="E52" s="363" t="e">
        <f>'Test-2'!AE51</f>
        <v>#DIV/0!</v>
      </c>
      <c r="F52" s="363" t="e">
        <f>'Test-3'!AE51</f>
        <v>#DIV/0!</v>
      </c>
      <c r="G52" s="363" t="e">
        <f>'Test-4'!AE51</f>
        <v>#DIV/0!</v>
      </c>
      <c r="H52" s="363" t="e">
        <f>'Test-5'!AE51</f>
        <v>#DIV/0!</v>
      </c>
      <c r="I52" s="363" t="e">
        <f>'Test-6'!AE51</f>
        <v>#DIV/0!</v>
      </c>
      <c r="J52" s="363" t="e">
        <f>'Test-7'!AE51</f>
        <v>#DIV/0!</v>
      </c>
      <c r="K52" s="363" t="e">
        <f>'Test-8'!AE51</f>
        <v>#DIV/0!</v>
      </c>
      <c r="L52" s="363" t="e">
        <f>'Test-9'!AE51</f>
        <v>#DIV/0!</v>
      </c>
      <c r="M52" s="363" t="e">
        <f>'Test-10'!AE51</f>
        <v>#DIV/0!</v>
      </c>
      <c r="N52" s="552" t="e">
        <f t="shared" si="9"/>
        <v>#DIV/0!</v>
      </c>
      <c r="O52" s="421" t="e">
        <f t="shared" si="10"/>
        <v>#DIV/0!</v>
      </c>
      <c r="P52" s="359" t="e">
        <f t="shared" si="11"/>
        <v>#DIV/0!</v>
      </c>
    </row>
    <row r="53" spans="14:15" ht="12.75">
      <c r="N53" s="124"/>
      <c r="O53" s="124"/>
    </row>
    <row r="54" spans="2:16" ht="12.75">
      <c r="B54" s="133" t="s">
        <v>869</v>
      </c>
      <c r="C54" s="592" t="s">
        <v>867</v>
      </c>
      <c r="D54" s="595"/>
      <c r="E54" s="679"/>
      <c r="F54" s="679"/>
      <c r="G54" s="679"/>
      <c r="H54" s="679"/>
      <c r="I54" s="546"/>
      <c r="J54" s="546"/>
      <c r="K54" s="546"/>
      <c r="L54" s="546"/>
      <c r="M54" s="547"/>
      <c r="N54" s="148"/>
      <c r="O54" s="360"/>
      <c r="P54" s="122"/>
    </row>
    <row r="55" spans="2:16" ht="12.75">
      <c r="B55" s="138" t="s">
        <v>835</v>
      </c>
      <c r="C55" s="593" t="str">
        <f>IF(COUNTIF(D45:M45,"&gt;0")&lt;3,"NA",IF(Results!N45&lt;Lists!E15,"0",IF(Results!N45&lt;Lists!I15,1,IF(Results!N45&lt;Lists!K15,2,IF(Results!N45&lt;Lists!M15,3,4)))))</f>
        <v>NA</v>
      </c>
      <c r="D55" s="591"/>
      <c r="E55" s="674"/>
      <c r="F55" s="674"/>
      <c r="G55" s="674"/>
      <c r="H55" s="674"/>
      <c r="I55" s="337"/>
      <c r="J55" s="337"/>
      <c r="K55" s="337"/>
      <c r="L55" s="337"/>
      <c r="M55" s="125"/>
      <c r="N55" s="148"/>
      <c r="O55" s="360"/>
      <c r="P55" s="129"/>
    </row>
    <row r="56" spans="2:16" ht="12.75">
      <c r="B56" s="138" t="s">
        <v>836</v>
      </c>
      <c r="C56" s="593" t="str">
        <f>IF(COUNTIF(D46:M46,"&gt;0")&lt;3,"NA",IF(Results!N46&gt;Lists!E16,"0",IF(Results!N46&gt;Lists!I16,1,IF(Results!N46&gt;Lists!K16,2,IF(Results!N46&gt;Lists!M16,3,4)))))</f>
        <v>NA</v>
      </c>
      <c r="D56" s="591"/>
      <c r="E56" s="674"/>
      <c r="F56" s="674"/>
      <c r="G56" s="674"/>
      <c r="H56" s="674"/>
      <c r="I56" s="337"/>
      <c r="J56" s="337"/>
      <c r="K56" s="337"/>
      <c r="L56" s="337"/>
      <c r="M56" s="125"/>
      <c r="N56" s="148"/>
      <c r="O56" s="360"/>
      <c r="P56" s="129"/>
    </row>
    <row r="57" spans="2:16" ht="12.75">
      <c r="B57" s="313" t="s">
        <v>855</v>
      </c>
      <c r="C57" s="593" t="str">
        <f>IF(COUNTIF(D47:M47,"&gt;0")&lt;3,"NA",IF(Results!N47&gt;Lists!E17,"0",IF(Results!N47&gt;Lists!I17,1,IF(Results!N47&gt;Lists!K17,2,IF(Results!N47&gt;Lists!M17,3,4)))))</f>
        <v>NA</v>
      </c>
      <c r="D57" s="591"/>
      <c r="E57" s="674"/>
      <c r="F57" s="674"/>
      <c r="G57" s="674"/>
      <c r="H57" s="674"/>
      <c r="I57" s="337"/>
      <c r="J57" s="337"/>
      <c r="K57" s="337"/>
      <c r="L57" s="337"/>
      <c r="M57" s="125"/>
      <c r="N57" s="148"/>
      <c r="O57" s="360"/>
      <c r="P57" s="129"/>
    </row>
    <row r="58" spans="2:16" ht="12.75">
      <c r="B58" s="313" t="s">
        <v>857</v>
      </c>
      <c r="C58" s="593" t="str">
        <f>IF(COUNTIF(D48:M48,"&gt;0")&lt;3,"NA",IF(Results!N48&gt;Lists!E18,"0",IF(Results!N48&gt;Lists!I18,1,IF(Results!N48&gt;Lists!K18,2,IF(Results!N48&gt;Lists!M18,3,4)))))</f>
        <v>NA</v>
      </c>
      <c r="D58" s="591"/>
      <c r="E58" s="674"/>
      <c r="F58" s="674"/>
      <c r="G58" s="674"/>
      <c r="H58" s="674"/>
      <c r="I58" s="337"/>
      <c r="J58" s="337"/>
      <c r="K58" s="337"/>
      <c r="L58" s="337"/>
      <c r="M58" s="125"/>
      <c r="N58" s="148"/>
      <c r="O58" s="360"/>
      <c r="P58" s="129"/>
    </row>
    <row r="59" spans="2:16" ht="12.75">
      <c r="B59" s="313" t="s">
        <v>859</v>
      </c>
      <c r="C59" s="593" t="str">
        <f>IF(COUNTIF(D49:M49,"&gt;0")&lt;3,"NA",IF(Results!N49&gt;Lists!E19,"0",IF(Results!N49&gt;Lists!I19,1,IF(Results!N49&gt;Lists!K19,2,IF(Results!N49&gt;Lists!M19,3,4)))))</f>
        <v>NA</v>
      </c>
      <c r="D59" s="591"/>
      <c r="E59" s="674"/>
      <c r="F59" s="674"/>
      <c r="G59" s="674"/>
      <c r="H59" s="674"/>
      <c r="I59" s="337"/>
      <c r="J59" s="337"/>
      <c r="K59" s="337"/>
      <c r="L59" s="337"/>
      <c r="M59" s="125"/>
      <c r="N59" s="148"/>
      <c r="O59" s="360"/>
      <c r="P59" s="129"/>
    </row>
    <row r="60" spans="2:16" ht="12.75">
      <c r="B60" s="313" t="s">
        <v>861</v>
      </c>
      <c r="C60" s="593" t="str">
        <f>IF(COUNTIF(D50:M50,"&gt;0")&lt;3,"NA",IF(Results!N50&gt;Lists!E20,"0",IF(Results!N50&gt;Lists!I20,1,IF(Results!N50&gt;Lists!K20,2,IF(Results!N50&gt;Lists!M20,3,4)))))</f>
        <v>NA</v>
      </c>
      <c r="D60" s="591"/>
      <c r="E60" s="674"/>
      <c r="F60" s="674"/>
      <c r="G60" s="674"/>
      <c r="H60" s="674"/>
      <c r="I60" s="337"/>
      <c r="J60" s="337"/>
      <c r="K60" s="337"/>
      <c r="L60" s="337"/>
      <c r="M60" s="125"/>
      <c r="N60" s="148"/>
      <c r="O60" s="360"/>
      <c r="P60" s="129"/>
    </row>
    <row r="61" spans="2:16" ht="12.75">
      <c r="B61" s="313" t="s">
        <v>880</v>
      </c>
      <c r="C61" s="593" t="str">
        <f>IF(COUNTIF(D51:M51,"&gt;0")&lt;3,"NA",IF(Results!N51&gt;Lists!E21,"0",IF(Results!N51&gt;Lists!I21,1,IF(Results!N51&gt;Lists!K21,2,IF(Results!N51&gt;Lists!M21,3,4)))))</f>
        <v>NA</v>
      </c>
      <c r="D61" s="591"/>
      <c r="E61" s="674"/>
      <c r="F61" s="674"/>
      <c r="G61" s="674"/>
      <c r="H61" s="674"/>
      <c r="I61" s="337"/>
      <c r="J61" s="337"/>
      <c r="K61" s="337"/>
      <c r="L61" s="337"/>
      <c r="M61" s="125"/>
      <c r="N61" s="148"/>
      <c r="O61" s="360"/>
      <c r="P61" s="129"/>
    </row>
    <row r="62" spans="1:16" ht="12.75">
      <c r="A62" s="128"/>
      <c r="B62" s="314" t="s">
        <v>879</v>
      </c>
      <c r="C62" s="594" t="str">
        <f>IF(COUNTIF(D52:M52,"&gt;0")&lt;3,"NA",IF(Results!N52&gt;Lists!E22,"0",IF(Results!N52&gt;Lists!I22,1,IF(Results!N52&gt;Lists!K22,2,IF(Results!N52&gt;Lists!M22,3,4)))))</f>
        <v>NA</v>
      </c>
      <c r="D62" s="591"/>
      <c r="E62" s="674"/>
      <c r="F62" s="674"/>
      <c r="G62" s="674"/>
      <c r="H62" s="674"/>
      <c r="I62" s="337"/>
      <c r="J62" s="337"/>
      <c r="K62" s="337"/>
      <c r="L62" s="337"/>
      <c r="M62" s="125"/>
      <c r="N62" s="148"/>
      <c r="O62" s="360"/>
      <c r="P62" s="129"/>
    </row>
    <row r="64" ht="12.75">
      <c r="D64" s="124" t="s">
        <v>943</v>
      </c>
    </row>
  </sheetData>
  <sheetProtection/>
  <mergeCells count="23">
    <mergeCell ref="D2:E2"/>
    <mergeCell ref="C4:P4"/>
    <mergeCell ref="C5:P5"/>
    <mergeCell ref="C7:P7"/>
    <mergeCell ref="C8:P8"/>
    <mergeCell ref="E54:F54"/>
    <mergeCell ref="G54:H54"/>
    <mergeCell ref="E55:F55"/>
    <mergeCell ref="E56:F56"/>
    <mergeCell ref="E57:F57"/>
    <mergeCell ref="E58:F58"/>
    <mergeCell ref="G55:H55"/>
    <mergeCell ref="G56:H56"/>
    <mergeCell ref="G57:H57"/>
    <mergeCell ref="G58:H58"/>
    <mergeCell ref="G60:H60"/>
    <mergeCell ref="G59:H59"/>
    <mergeCell ref="G62:H62"/>
    <mergeCell ref="G61:H61"/>
    <mergeCell ref="E59:F59"/>
    <mergeCell ref="E60:F60"/>
    <mergeCell ref="E61:F61"/>
    <mergeCell ref="E62:F62"/>
  </mergeCells>
  <conditionalFormatting sqref="S23 P21 O12 O22:P22 N21:N22 D22:F28 P11:P12 N11:N12 D12:M12 D13:P18 N23:P28 D31:P36 D39:P42 D45:P52 C55:C62 E55 G55 I55:L62">
    <cfRule type="containsErrors" priority="16" dxfId="0" stopIfTrue="1">
      <formula>ISERROR(C11)</formula>
    </cfRule>
  </conditionalFormatting>
  <conditionalFormatting sqref="G22:G28">
    <cfRule type="containsErrors" priority="15" dxfId="0" stopIfTrue="1">
      <formula>ISERROR(G22)</formula>
    </cfRule>
  </conditionalFormatting>
  <conditionalFormatting sqref="H22:H28">
    <cfRule type="containsErrors" priority="14" dxfId="0" stopIfTrue="1">
      <formula>ISERROR(H22)</formula>
    </cfRule>
  </conditionalFormatting>
  <conditionalFormatting sqref="I22:I28">
    <cfRule type="containsErrors" priority="13" dxfId="0" stopIfTrue="1">
      <formula>ISERROR(I22)</formula>
    </cfRule>
  </conditionalFormatting>
  <conditionalFormatting sqref="J22:J28">
    <cfRule type="containsErrors" priority="12" dxfId="0" stopIfTrue="1">
      <formula>ISERROR(J22)</formula>
    </cfRule>
  </conditionalFormatting>
  <conditionalFormatting sqref="K22:K28">
    <cfRule type="containsErrors" priority="11" dxfId="0" stopIfTrue="1">
      <formula>ISERROR(K22)</formula>
    </cfRule>
  </conditionalFormatting>
  <conditionalFormatting sqref="L22:L28">
    <cfRule type="containsErrors" priority="10" dxfId="0" stopIfTrue="1">
      <formula>ISERROR(L22)</formula>
    </cfRule>
  </conditionalFormatting>
  <conditionalFormatting sqref="M22:M28">
    <cfRule type="containsErrors" priority="9" dxfId="0" stopIfTrue="1">
      <formula>ISERROR(M22)</formula>
    </cfRule>
  </conditionalFormatting>
  <conditionalFormatting sqref="E56">
    <cfRule type="containsErrors" priority="8" dxfId="0" stopIfTrue="1">
      <formula>ISERROR(E56)</formula>
    </cfRule>
  </conditionalFormatting>
  <conditionalFormatting sqref="E57">
    <cfRule type="containsErrors" priority="7" dxfId="0" stopIfTrue="1">
      <formula>ISERROR(E57)</formula>
    </cfRule>
  </conditionalFormatting>
  <conditionalFormatting sqref="E58">
    <cfRule type="containsErrors" priority="6" dxfId="0" stopIfTrue="1">
      <formula>ISERROR(E58)</formula>
    </cfRule>
  </conditionalFormatting>
  <conditionalFormatting sqref="E59">
    <cfRule type="containsErrors" priority="5" dxfId="0" stopIfTrue="1">
      <formula>ISERROR(E59)</formula>
    </cfRule>
  </conditionalFormatting>
  <conditionalFormatting sqref="E60">
    <cfRule type="containsErrors" priority="4" dxfId="0" stopIfTrue="1">
      <formula>ISERROR(E60)</formula>
    </cfRule>
  </conditionalFormatting>
  <conditionalFormatting sqref="E61">
    <cfRule type="containsErrors" priority="3" dxfId="0" stopIfTrue="1">
      <formula>ISERROR(E61)</formula>
    </cfRule>
  </conditionalFormatting>
  <conditionalFormatting sqref="E62">
    <cfRule type="containsErrors" priority="2" dxfId="0" stopIfTrue="1">
      <formula>ISERROR(E62)</formula>
    </cfRule>
  </conditionalFormatting>
  <conditionalFormatting sqref="G56:G62">
    <cfRule type="containsErrors" priority="1" dxfId="0" stopIfTrue="1">
      <formula>ISERROR(G56)</formula>
    </cfRule>
  </conditionalFormatting>
  <printOptions/>
  <pageMargins left="0.7479166666666667" right="0.7479166666666667" top="0.75" bottom="0.75" header="0.5118055555555555" footer="0.5"/>
  <pageSetup horizontalDpi="300" verticalDpi="300" orientation="landscape" scale="71" r:id="rId3"/>
  <headerFooter alignWithMargins="0">
    <oddFooter>&amp;L&amp;F&amp;C&amp;A&amp;RPage &amp;P</oddFooter>
  </headerFooter>
  <legacyDrawing r:id="rId2"/>
</worksheet>
</file>

<file path=xl/worksheets/sheet14.xml><?xml version="1.0" encoding="utf-8"?>
<worksheet xmlns="http://schemas.openxmlformats.org/spreadsheetml/2006/main" xmlns:r="http://schemas.openxmlformats.org/officeDocument/2006/relationships">
  <dimension ref="A1:AG87"/>
  <sheetViews>
    <sheetView view="pageLayout" zoomScaleSheetLayoutView="100" workbookViewId="0" topLeftCell="A13">
      <selection activeCell="H28" sqref="H28"/>
    </sheetView>
  </sheetViews>
  <sheetFormatPr defaultColWidth="9.140625" defaultRowHeight="12.75"/>
  <cols>
    <col min="1" max="16384" width="9.140625" style="1" customWidth="1"/>
  </cols>
  <sheetData>
    <row r="1" spans="1:33" ht="12" thickTop="1">
      <c r="A1" s="519"/>
      <c r="B1" s="520"/>
      <c r="C1" s="520"/>
      <c r="D1" s="520"/>
      <c r="E1" s="520"/>
      <c r="F1" s="520"/>
      <c r="G1" s="520"/>
      <c r="H1" s="520"/>
      <c r="I1" s="520"/>
      <c r="J1" s="520"/>
      <c r="K1" s="521"/>
      <c r="L1" s="2"/>
      <c r="M1" s="2"/>
      <c r="N1" s="2"/>
      <c r="O1" s="2"/>
      <c r="P1" s="2"/>
      <c r="Q1" s="2"/>
      <c r="R1" s="2"/>
      <c r="S1" s="2"/>
      <c r="T1" s="2"/>
      <c r="U1" s="2"/>
      <c r="V1" s="2"/>
      <c r="W1" s="2"/>
      <c r="X1" s="2"/>
      <c r="Y1" s="2"/>
      <c r="Z1" s="2"/>
      <c r="AA1" s="2"/>
      <c r="AB1" s="2"/>
      <c r="AC1" s="2"/>
      <c r="AD1" s="2"/>
      <c r="AE1" s="2"/>
      <c r="AF1" s="2"/>
      <c r="AG1" s="2"/>
    </row>
    <row r="2" spans="1:33" ht="74.25" customHeight="1">
      <c r="A2" s="692"/>
      <c r="B2" s="642"/>
      <c r="C2" s="642"/>
      <c r="D2" s="642"/>
      <c r="E2" s="642"/>
      <c r="F2" s="642"/>
      <c r="G2" s="642"/>
      <c r="H2" s="642"/>
      <c r="I2" s="642"/>
      <c r="J2" s="642"/>
      <c r="K2" s="693"/>
      <c r="L2" s="2"/>
      <c r="M2" s="2"/>
      <c r="N2" s="2"/>
      <c r="O2" s="2"/>
      <c r="P2" s="2"/>
      <c r="Q2" s="2"/>
      <c r="R2" s="2"/>
      <c r="S2" s="2"/>
      <c r="T2" s="2"/>
      <c r="U2" s="2"/>
      <c r="V2" s="2"/>
      <c r="W2" s="2"/>
      <c r="X2" s="2"/>
      <c r="Y2" s="2"/>
      <c r="Z2" s="2"/>
      <c r="AA2" s="2"/>
      <c r="AB2" s="2"/>
      <c r="AC2" s="2"/>
      <c r="AD2" s="2"/>
      <c r="AE2" s="2"/>
      <c r="AF2" s="2"/>
      <c r="AG2" s="2"/>
    </row>
    <row r="3" spans="1:33" ht="24.75" customHeight="1">
      <c r="A3" s="694" t="s">
        <v>974</v>
      </c>
      <c r="B3" s="695"/>
      <c r="C3" s="695"/>
      <c r="D3" s="695"/>
      <c r="E3" s="695"/>
      <c r="F3" s="695"/>
      <c r="G3" s="695"/>
      <c r="H3" s="695"/>
      <c r="I3" s="695"/>
      <c r="J3" s="695"/>
      <c r="K3" s="696"/>
      <c r="L3" s="2"/>
      <c r="M3" s="2"/>
      <c r="N3" s="2"/>
      <c r="O3" s="2"/>
      <c r="P3" s="2"/>
      <c r="Q3" s="2"/>
      <c r="R3" s="2"/>
      <c r="S3" s="2"/>
      <c r="T3" s="2"/>
      <c r="U3" s="2"/>
      <c r="V3" s="2"/>
      <c r="W3" s="2"/>
      <c r="X3" s="2"/>
      <c r="Y3" s="2"/>
      <c r="Z3" s="2"/>
      <c r="AA3" s="2"/>
      <c r="AB3" s="2"/>
      <c r="AC3" s="2"/>
      <c r="AD3" s="2"/>
      <c r="AE3" s="2"/>
      <c r="AF3" s="2"/>
      <c r="AG3" s="2"/>
    </row>
    <row r="4" spans="1:33" ht="12" customHeight="1" thickBot="1">
      <c r="A4" s="522"/>
      <c r="B4" s="523"/>
      <c r="C4" s="523"/>
      <c r="D4" s="523"/>
      <c r="E4" s="523"/>
      <c r="F4" s="523"/>
      <c r="G4" s="523"/>
      <c r="H4" s="523"/>
      <c r="I4" s="523"/>
      <c r="J4" s="523"/>
      <c r="K4" s="527"/>
      <c r="L4" s="2"/>
      <c r="M4" s="2"/>
      <c r="N4" s="2"/>
      <c r="O4" s="2"/>
      <c r="P4" s="2"/>
      <c r="Q4" s="2"/>
      <c r="R4" s="2"/>
      <c r="S4" s="2"/>
      <c r="T4" s="2"/>
      <c r="U4" s="2"/>
      <c r="V4" s="2"/>
      <c r="W4" s="2"/>
      <c r="X4" s="2"/>
      <c r="Y4" s="2"/>
      <c r="Z4" s="2"/>
      <c r="AA4" s="2"/>
      <c r="AB4" s="2"/>
      <c r="AC4" s="2"/>
      <c r="AD4" s="2"/>
      <c r="AE4" s="2"/>
      <c r="AF4" s="2"/>
      <c r="AG4" s="2"/>
    </row>
    <row r="5" spans="1:33" s="513" customFormat="1" ht="17.25" customHeight="1">
      <c r="A5" s="524"/>
      <c r="B5" s="730" t="s">
        <v>1001</v>
      </c>
      <c r="C5" s="731"/>
      <c r="D5" s="732"/>
      <c r="E5" s="724">
        <f>'General Information'!C11</f>
        <v>0</v>
      </c>
      <c r="F5" s="725"/>
      <c r="G5" s="725"/>
      <c r="H5" s="725"/>
      <c r="I5" s="725"/>
      <c r="J5" s="726"/>
      <c r="K5" s="525"/>
      <c r="L5" s="512"/>
      <c r="M5" s="512"/>
      <c r="N5" s="512"/>
      <c r="O5" s="512"/>
      <c r="P5" s="512"/>
      <c r="Q5" s="512"/>
      <c r="R5" s="512"/>
      <c r="S5" s="512"/>
      <c r="T5" s="512"/>
      <c r="U5" s="512"/>
      <c r="V5" s="512"/>
      <c r="W5" s="512"/>
      <c r="X5" s="512"/>
      <c r="Y5" s="512"/>
      <c r="Z5" s="512"/>
      <c r="AA5" s="512"/>
      <c r="AB5" s="512"/>
      <c r="AC5" s="512"/>
      <c r="AD5" s="512"/>
      <c r="AE5" s="512"/>
      <c r="AF5" s="512"/>
      <c r="AG5" s="512"/>
    </row>
    <row r="6" spans="1:33" s="513" customFormat="1" ht="17.25" customHeight="1">
      <c r="A6" s="524"/>
      <c r="B6" s="733" t="s">
        <v>1002</v>
      </c>
      <c r="C6" s="734"/>
      <c r="D6" s="735"/>
      <c r="E6" s="718">
        <f>'General Information'!C10</f>
        <v>0</v>
      </c>
      <c r="F6" s="719"/>
      <c r="G6" s="719"/>
      <c r="H6" s="719"/>
      <c r="I6" s="719"/>
      <c r="J6" s="736"/>
      <c r="K6" s="525"/>
      <c r="L6" s="512"/>
      <c r="M6" s="512"/>
      <c r="N6" s="512"/>
      <c r="O6" s="512"/>
      <c r="P6" s="512"/>
      <c r="Q6" s="512"/>
      <c r="R6" s="512"/>
      <c r="S6" s="512"/>
      <c r="T6" s="512"/>
      <c r="U6" s="512"/>
      <c r="V6" s="512"/>
      <c r="W6" s="512"/>
      <c r="X6" s="512"/>
      <c r="Y6" s="512"/>
      <c r="Z6" s="512"/>
      <c r="AA6" s="512"/>
      <c r="AB6" s="512"/>
      <c r="AC6" s="512"/>
      <c r="AD6" s="512"/>
      <c r="AE6" s="512"/>
      <c r="AF6" s="512"/>
      <c r="AG6" s="512"/>
    </row>
    <row r="7" spans="1:33" s="513" customFormat="1" ht="17.25" customHeight="1">
      <c r="A7" s="524"/>
      <c r="B7" s="733" t="s">
        <v>975</v>
      </c>
      <c r="C7" s="734"/>
      <c r="D7" s="735"/>
      <c r="E7" s="718">
        <f>'General Information'!C7</f>
        <v>0</v>
      </c>
      <c r="F7" s="719"/>
      <c r="G7" s="719"/>
      <c r="H7" s="719"/>
      <c r="I7" s="719"/>
      <c r="J7" s="736"/>
      <c r="K7" s="525"/>
      <c r="L7" s="512"/>
      <c r="M7" s="512"/>
      <c r="N7" s="512"/>
      <c r="O7" s="512"/>
      <c r="P7" s="512"/>
      <c r="Q7" s="512"/>
      <c r="R7" s="512"/>
      <c r="S7" s="512"/>
      <c r="T7" s="512"/>
      <c r="U7" s="512"/>
      <c r="V7" s="512"/>
      <c r="W7" s="512"/>
      <c r="X7" s="512"/>
      <c r="Y7" s="512"/>
      <c r="Z7" s="512"/>
      <c r="AA7" s="512"/>
      <c r="AB7" s="512"/>
      <c r="AC7" s="512"/>
      <c r="AD7" s="512"/>
      <c r="AE7" s="512"/>
      <c r="AF7" s="512"/>
      <c r="AG7" s="512"/>
    </row>
    <row r="8" spans="1:33" s="513" customFormat="1" ht="17.25" customHeight="1">
      <c r="A8" s="524"/>
      <c r="B8" s="733" t="s">
        <v>976</v>
      </c>
      <c r="C8" s="734"/>
      <c r="D8" s="735"/>
      <c r="E8" s="718" t="s">
        <v>1037</v>
      </c>
      <c r="F8" s="719"/>
      <c r="G8" s="719"/>
      <c r="H8" s="719"/>
      <c r="I8" s="719"/>
      <c r="J8" s="736"/>
      <c r="K8" s="525"/>
      <c r="L8" s="512"/>
      <c r="M8" s="512"/>
      <c r="N8" s="512"/>
      <c r="O8" s="512"/>
      <c r="P8" s="512"/>
      <c r="Q8" s="512"/>
      <c r="R8" s="512"/>
      <c r="S8" s="512"/>
      <c r="T8" s="512"/>
      <c r="U8" s="512"/>
      <c r="V8" s="512"/>
      <c r="W8" s="512"/>
      <c r="X8" s="512"/>
      <c r="Y8" s="512"/>
      <c r="Z8" s="512"/>
      <c r="AA8" s="512"/>
      <c r="AB8" s="512"/>
      <c r="AC8" s="512"/>
      <c r="AD8" s="512"/>
      <c r="AE8" s="512"/>
      <c r="AF8" s="512"/>
      <c r="AG8" s="512"/>
    </row>
    <row r="9" spans="1:33" s="513" customFormat="1" ht="17.25" customHeight="1">
      <c r="A9" s="524"/>
      <c r="B9" s="733" t="s">
        <v>977</v>
      </c>
      <c r="C9" s="734"/>
      <c r="D9" s="735"/>
      <c r="E9" s="718">
        <f>'General Information'!J3</f>
        <v>0</v>
      </c>
      <c r="F9" s="719"/>
      <c r="G9" s="719"/>
      <c r="H9" s="719"/>
      <c r="I9" s="719"/>
      <c r="J9" s="736"/>
      <c r="K9" s="525"/>
      <c r="L9" s="512"/>
      <c r="M9" s="512"/>
      <c r="N9" s="512"/>
      <c r="O9" s="512"/>
      <c r="P9" s="512"/>
      <c r="Q9" s="512"/>
      <c r="R9" s="512"/>
      <c r="S9" s="512"/>
      <c r="T9" s="512"/>
      <c r="U9" s="512"/>
      <c r="V9" s="512"/>
      <c r="W9" s="512"/>
      <c r="X9" s="512"/>
      <c r="Y9" s="512"/>
      <c r="Z9" s="512"/>
      <c r="AA9" s="512"/>
      <c r="AB9" s="512"/>
      <c r="AC9" s="512"/>
      <c r="AD9" s="512"/>
      <c r="AE9" s="512"/>
      <c r="AF9" s="512"/>
      <c r="AG9" s="512"/>
    </row>
    <row r="10" spans="1:33" s="513" customFormat="1" ht="17.25" customHeight="1">
      <c r="A10" s="524"/>
      <c r="B10" s="733" t="s">
        <v>978</v>
      </c>
      <c r="C10" s="734"/>
      <c r="D10" s="735"/>
      <c r="E10" s="718">
        <f>'General Information'!C16</f>
        <v>0</v>
      </c>
      <c r="F10" s="719"/>
      <c r="G10" s="719"/>
      <c r="H10" s="719"/>
      <c r="I10" s="719"/>
      <c r="J10" s="736"/>
      <c r="K10" s="525"/>
      <c r="L10" s="512"/>
      <c r="M10" s="512"/>
      <c r="N10" s="512"/>
      <c r="O10" s="512"/>
      <c r="P10" s="512"/>
      <c r="Q10" s="512"/>
      <c r="R10" s="512"/>
      <c r="S10" s="512"/>
      <c r="T10" s="512"/>
      <c r="U10" s="512"/>
      <c r="V10" s="512"/>
      <c r="W10" s="512"/>
      <c r="X10" s="512"/>
      <c r="Y10" s="512"/>
      <c r="Z10" s="512"/>
      <c r="AA10" s="512"/>
      <c r="AB10" s="512"/>
      <c r="AC10" s="512"/>
      <c r="AD10" s="512"/>
      <c r="AE10" s="512"/>
      <c r="AF10" s="512"/>
      <c r="AG10" s="512"/>
    </row>
    <row r="11" spans="1:33" s="513" customFormat="1" ht="17.25" customHeight="1" thickBot="1">
      <c r="A11" s="524"/>
      <c r="B11" s="750" t="s">
        <v>979</v>
      </c>
      <c r="C11" s="751"/>
      <c r="D11" s="752"/>
      <c r="E11" s="758" t="str">
        <f>'General Information'!C5&amp;", "&amp;'General Information'!C6&amp;""</f>
        <v>, </v>
      </c>
      <c r="F11" s="759"/>
      <c r="G11" s="759"/>
      <c r="H11" s="759"/>
      <c r="I11" s="759"/>
      <c r="J11" s="760"/>
      <c r="K11" s="525"/>
      <c r="L11" s="512"/>
      <c r="M11" s="512"/>
      <c r="N11" s="512"/>
      <c r="O11" s="512"/>
      <c r="P11" s="512"/>
      <c r="Q11" s="512"/>
      <c r="R11" s="512"/>
      <c r="S11" s="512"/>
      <c r="T11" s="512"/>
      <c r="U11" s="512"/>
      <c r="V11" s="512"/>
      <c r="W11" s="512"/>
      <c r="X11" s="512"/>
      <c r="Y11" s="512"/>
      <c r="Z11" s="512"/>
      <c r="AA11" s="512"/>
      <c r="AB11" s="512"/>
      <c r="AC11" s="512"/>
      <c r="AD11" s="512"/>
      <c r="AE11" s="512"/>
      <c r="AF11" s="512"/>
      <c r="AG11" s="512"/>
    </row>
    <row r="12" spans="1:33" ht="11.25">
      <c r="A12" s="526"/>
      <c r="B12" s="2"/>
      <c r="C12" s="2"/>
      <c r="D12" s="2"/>
      <c r="E12" s="2"/>
      <c r="F12" s="2"/>
      <c r="G12" s="2"/>
      <c r="H12" s="2"/>
      <c r="I12" s="2"/>
      <c r="J12" s="2"/>
      <c r="K12" s="527"/>
      <c r="L12" s="2"/>
      <c r="M12" s="2"/>
      <c r="N12" s="2"/>
      <c r="O12" s="2"/>
      <c r="P12" s="2"/>
      <c r="Q12" s="2"/>
      <c r="R12" s="2"/>
      <c r="S12" s="2"/>
      <c r="T12" s="2"/>
      <c r="U12" s="2"/>
      <c r="V12" s="2"/>
      <c r="W12" s="2"/>
      <c r="X12" s="2"/>
      <c r="Y12" s="2"/>
      <c r="Z12" s="2"/>
      <c r="AA12" s="2"/>
      <c r="AB12" s="2"/>
      <c r="AC12" s="2"/>
      <c r="AD12" s="2"/>
      <c r="AE12" s="2"/>
      <c r="AF12" s="2"/>
      <c r="AG12" s="2"/>
    </row>
    <row r="13" spans="1:33" ht="11.25">
      <c r="A13" s="761" t="s">
        <v>1007</v>
      </c>
      <c r="B13" s="640"/>
      <c r="C13" s="640"/>
      <c r="D13" s="640"/>
      <c r="E13" s="640"/>
      <c r="F13" s="640"/>
      <c r="G13" s="640"/>
      <c r="H13" s="640"/>
      <c r="I13" s="640"/>
      <c r="J13" s="640"/>
      <c r="K13" s="762"/>
      <c r="L13" s="2"/>
      <c r="M13" s="2"/>
      <c r="N13" s="2"/>
      <c r="O13" s="2"/>
      <c r="P13" s="2"/>
      <c r="Q13" s="2"/>
      <c r="R13" s="2"/>
      <c r="S13" s="2"/>
      <c r="T13" s="2"/>
      <c r="U13" s="2"/>
      <c r="V13" s="2"/>
      <c r="W13" s="2"/>
      <c r="X13" s="2"/>
      <c r="Y13" s="2"/>
      <c r="Z13" s="2"/>
      <c r="AA13" s="2"/>
      <c r="AB13" s="2"/>
      <c r="AC13" s="2"/>
      <c r="AD13" s="2"/>
      <c r="AE13" s="2"/>
      <c r="AF13" s="2"/>
      <c r="AG13" s="2"/>
    </row>
    <row r="14" spans="1:33" ht="11.25">
      <c r="A14" s="761" t="s">
        <v>1003</v>
      </c>
      <c r="B14" s="640"/>
      <c r="C14" s="640"/>
      <c r="D14" s="640"/>
      <c r="E14" s="640"/>
      <c r="F14" s="640"/>
      <c r="G14" s="640"/>
      <c r="H14" s="640"/>
      <c r="I14" s="640"/>
      <c r="J14" s="640"/>
      <c r="K14" s="762"/>
      <c r="L14" s="2"/>
      <c r="M14" s="2"/>
      <c r="N14" s="2"/>
      <c r="O14" s="2"/>
      <c r="P14" s="2"/>
      <c r="Q14" s="2"/>
      <c r="R14" s="2"/>
      <c r="S14" s="2"/>
      <c r="T14" s="2"/>
      <c r="U14" s="2"/>
      <c r="V14" s="2"/>
      <c r="W14" s="2"/>
      <c r="X14" s="2"/>
      <c r="Y14" s="2"/>
      <c r="Z14" s="2"/>
      <c r="AA14" s="2"/>
      <c r="AB14" s="2"/>
      <c r="AC14" s="2"/>
      <c r="AD14" s="2"/>
      <c r="AE14" s="2"/>
      <c r="AF14" s="2"/>
      <c r="AG14" s="2"/>
    </row>
    <row r="15" spans="1:33" ht="12" thickBot="1">
      <c r="A15" s="526"/>
      <c r="B15" s="2"/>
      <c r="C15" s="2"/>
      <c r="D15" s="2"/>
      <c r="E15" s="2"/>
      <c r="F15" s="2"/>
      <c r="G15" s="2"/>
      <c r="H15" s="2"/>
      <c r="I15" s="2"/>
      <c r="J15" s="2"/>
      <c r="K15" s="527"/>
      <c r="L15" s="2"/>
      <c r="M15" s="2"/>
      <c r="N15" s="2"/>
      <c r="O15" s="2"/>
      <c r="P15" s="2"/>
      <c r="Q15" s="2"/>
      <c r="R15" s="2"/>
      <c r="S15" s="2"/>
      <c r="T15" s="2"/>
      <c r="U15" s="2"/>
      <c r="V15" s="2"/>
      <c r="W15" s="2"/>
      <c r="X15" s="2"/>
      <c r="Y15" s="2"/>
      <c r="Z15" s="2"/>
      <c r="AA15" s="2"/>
      <c r="AB15" s="2"/>
      <c r="AC15" s="2"/>
      <c r="AD15" s="2"/>
      <c r="AE15" s="2"/>
      <c r="AF15" s="2"/>
      <c r="AG15" s="2"/>
    </row>
    <row r="16" spans="1:33" ht="24" customHeight="1" thickBot="1">
      <c r="A16" s="526"/>
      <c r="B16" s="740" t="s">
        <v>696</v>
      </c>
      <c r="C16" s="741"/>
      <c r="D16" s="742"/>
      <c r="E16" s="753">
        <f>'General Information'!C3</f>
        <v>0</v>
      </c>
      <c r="F16" s="754"/>
      <c r="G16" s="754"/>
      <c r="H16" s="754"/>
      <c r="I16" s="754"/>
      <c r="J16" s="755"/>
      <c r="K16" s="527"/>
      <c r="L16" s="2"/>
      <c r="M16" s="2"/>
      <c r="N16" s="2"/>
      <c r="O16" s="2"/>
      <c r="P16" s="2"/>
      <c r="Q16" s="2"/>
      <c r="R16" s="2"/>
      <c r="S16" s="2"/>
      <c r="T16" s="2"/>
      <c r="U16" s="2"/>
      <c r="V16" s="2"/>
      <c r="W16" s="2"/>
      <c r="X16" s="2"/>
      <c r="Y16" s="2"/>
      <c r="Z16" s="2"/>
      <c r="AA16" s="2"/>
      <c r="AB16" s="2"/>
      <c r="AC16" s="2"/>
      <c r="AD16" s="2"/>
      <c r="AE16" s="2"/>
      <c r="AF16" s="2"/>
      <c r="AG16" s="2"/>
    </row>
    <row r="17" spans="1:33" ht="12" thickBot="1">
      <c r="A17" s="526"/>
      <c r="B17" s="2"/>
      <c r="C17" s="2"/>
      <c r="D17" s="2"/>
      <c r="E17" s="2"/>
      <c r="F17" s="2"/>
      <c r="G17" s="2"/>
      <c r="H17" s="2"/>
      <c r="I17" s="2"/>
      <c r="J17" s="2"/>
      <c r="K17" s="527"/>
      <c r="L17" s="2"/>
      <c r="M17" s="2"/>
      <c r="N17" s="2"/>
      <c r="O17" s="2"/>
      <c r="P17" s="2"/>
      <c r="Q17" s="2"/>
      <c r="R17" s="2"/>
      <c r="S17" s="2"/>
      <c r="T17" s="2"/>
      <c r="U17" s="2"/>
      <c r="V17" s="2"/>
      <c r="W17" s="2"/>
      <c r="X17" s="2"/>
      <c r="Y17" s="2"/>
      <c r="Z17" s="2"/>
      <c r="AA17" s="2"/>
      <c r="AB17" s="2"/>
      <c r="AC17" s="2"/>
      <c r="AD17" s="2"/>
      <c r="AE17" s="2"/>
      <c r="AF17" s="2"/>
      <c r="AG17" s="2"/>
    </row>
    <row r="18" spans="1:33" ht="12.75" customHeight="1">
      <c r="A18" s="526"/>
      <c r="B18" s="515"/>
      <c r="C18" s="516"/>
      <c r="D18" s="747" t="s">
        <v>980</v>
      </c>
      <c r="E18" s="748"/>
      <c r="F18" s="748"/>
      <c r="G18" s="749"/>
      <c r="H18" s="517" t="s">
        <v>981</v>
      </c>
      <c r="I18" s="517" t="s">
        <v>982</v>
      </c>
      <c r="J18" s="518" t="s">
        <v>983</v>
      </c>
      <c r="K18" s="527"/>
      <c r="L18" s="2"/>
      <c r="M18" s="2"/>
      <c r="N18" s="2"/>
      <c r="O18" s="2"/>
      <c r="P18" s="2"/>
      <c r="Q18" s="2"/>
      <c r="R18" s="2"/>
      <c r="S18" s="2"/>
      <c r="T18" s="2"/>
      <c r="U18" s="2"/>
      <c r="V18" s="2"/>
      <c r="W18" s="2"/>
      <c r="X18" s="2"/>
      <c r="Y18" s="2"/>
      <c r="Z18" s="2"/>
      <c r="AA18" s="2"/>
      <c r="AB18" s="2"/>
      <c r="AC18" s="2"/>
      <c r="AD18" s="2"/>
      <c r="AE18" s="2"/>
      <c r="AF18" s="2"/>
      <c r="AG18" s="2"/>
    </row>
    <row r="19" spans="1:33" s="513" customFormat="1" ht="18.75" customHeight="1">
      <c r="A19" s="524"/>
      <c r="B19" s="737" t="s">
        <v>984</v>
      </c>
      <c r="C19" s="738"/>
      <c r="D19" s="738"/>
      <c r="E19" s="738"/>
      <c r="F19" s="738"/>
      <c r="G19" s="738"/>
      <c r="H19" s="738"/>
      <c r="I19" s="738"/>
      <c r="J19" s="739"/>
      <c r="K19" s="525"/>
      <c r="L19" s="512"/>
      <c r="M19" s="512"/>
      <c r="N19" s="512"/>
      <c r="O19" s="512"/>
      <c r="P19" s="512"/>
      <c r="Q19" s="512"/>
      <c r="R19" s="512"/>
      <c r="S19" s="512"/>
      <c r="T19" s="512"/>
      <c r="U19" s="512"/>
      <c r="V19" s="512"/>
      <c r="W19" s="512"/>
      <c r="X19" s="512"/>
      <c r="Y19" s="512"/>
      <c r="Z19" s="512"/>
      <c r="AA19" s="512"/>
      <c r="AB19" s="512"/>
      <c r="AC19" s="512"/>
      <c r="AD19" s="512"/>
      <c r="AE19" s="512"/>
      <c r="AF19" s="512"/>
      <c r="AG19" s="512"/>
    </row>
    <row r="20" spans="1:33" s="513" customFormat="1" ht="15" customHeight="1">
      <c r="A20" s="524"/>
      <c r="B20" s="743" t="s">
        <v>867</v>
      </c>
      <c r="C20" s="745"/>
      <c r="D20" s="727" t="s">
        <v>985</v>
      </c>
      <c r="E20" s="728"/>
      <c r="F20" s="728"/>
      <c r="G20" s="729"/>
      <c r="H20" s="585">
        <f>Results!N45</f>
        <v>0.3381959988927702</v>
      </c>
      <c r="I20" s="585" t="s">
        <v>113</v>
      </c>
      <c r="J20" s="586" t="str">
        <f>Results!C55</f>
        <v>NA</v>
      </c>
      <c r="K20" s="525"/>
      <c r="L20" s="512"/>
      <c r="M20" s="512"/>
      <c r="N20" s="512"/>
      <c r="O20" s="512"/>
      <c r="P20" s="512"/>
      <c r="Q20" s="512"/>
      <c r="R20" s="512"/>
      <c r="S20" s="512"/>
      <c r="T20" s="512"/>
      <c r="U20" s="512"/>
      <c r="V20" s="512"/>
      <c r="W20" s="512"/>
      <c r="X20" s="512"/>
      <c r="Y20" s="512"/>
      <c r="Z20" s="512"/>
      <c r="AA20" s="512"/>
      <c r="AB20" s="512"/>
      <c r="AC20" s="512"/>
      <c r="AD20" s="512"/>
      <c r="AE20" s="512"/>
      <c r="AF20" s="512"/>
      <c r="AG20" s="512"/>
    </row>
    <row r="21" spans="1:33" s="513" customFormat="1" ht="15" customHeight="1">
      <c r="A21" s="524"/>
      <c r="B21" s="744"/>
      <c r="C21" s="746"/>
      <c r="D21" s="727" t="s">
        <v>986</v>
      </c>
      <c r="E21" s="728"/>
      <c r="F21" s="728"/>
      <c r="G21" s="729"/>
      <c r="H21" s="585">
        <f>Results!N46</f>
        <v>0.03389531358642748</v>
      </c>
      <c r="I21" s="585" t="s">
        <v>987</v>
      </c>
      <c r="J21" s="586" t="str">
        <f>Results!C56</f>
        <v>NA</v>
      </c>
      <c r="K21" s="525"/>
      <c r="L21" s="512"/>
      <c r="M21" s="512"/>
      <c r="N21" s="512"/>
      <c r="O21" s="512"/>
      <c r="P21" s="512"/>
      <c r="Q21" s="512"/>
      <c r="R21" s="512"/>
      <c r="S21" s="512"/>
      <c r="T21" s="512"/>
      <c r="U21" s="512"/>
      <c r="V21" s="512"/>
      <c r="W21" s="512"/>
      <c r="X21" s="512"/>
      <c r="Y21" s="512"/>
      <c r="Z21" s="512"/>
      <c r="AA21" s="512"/>
      <c r="AB21" s="512"/>
      <c r="AC21" s="512"/>
      <c r="AD21" s="512"/>
      <c r="AE21" s="512"/>
      <c r="AF21" s="512"/>
      <c r="AG21" s="512"/>
    </row>
    <row r="22" spans="1:33" s="513" customFormat="1" ht="18.75" customHeight="1">
      <c r="A22" s="524"/>
      <c r="B22" s="737" t="s">
        <v>988</v>
      </c>
      <c r="C22" s="738"/>
      <c r="D22" s="738"/>
      <c r="E22" s="738"/>
      <c r="F22" s="738"/>
      <c r="G22" s="738"/>
      <c r="H22" s="738"/>
      <c r="I22" s="738"/>
      <c r="J22" s="739"/>
      <c r="K22" s="525"/>
      <c r="L22" s="512"/>
      <c r="M22" s="512"/>
      <c r="N22" s="512"/>
      <c r="O22" s="512"/>
      <c r="P22" s="512"/>
      <c r="Q22" s="512"/>
      <c r="R22" s="512"/>
      <c r="S22" s="512"/>
      <c r="T22" s="512"/>
      <c r="U22" s="512"/>
      <c r="V22" s="512"/>
      <c r="W22" s="512"/>
      <c r="X22" s="512"/>
      <c r="Y22" s="512"/>
      <c r="Z22" s="512"/>
      <c r="AA22" s="512"/>
      <c r="AB22" s="512"/>
      <c r="AC22" s="512"/>
      <c r="AD22" s="512"/>
      <c r="AE22" s="512"/>
      <c r="AF22" s="512"/>
      <c r="AG22" s="512"/>
    </row>
    <row r="23" spans="1:33" s="513" customFormat="1" ht="15" customHeight="1">
      <c r="A23" s="524"/>
      <c r="B23" s="743" t="s">
        <v>867</v>
      </c>
      <c r="C23" s="745"/>
      <c r="D23" s="727" t="s">
        <v>989</v>
      </c>
      <c r="E23" s="728"/>
      <c r="F23" s="728"/>
      <c r="G23" s="729"/>
      <c r="H23" s="585" t="e">
        <f>Results!N47</f>
        <v>#DIV/0!</v>
      </c>
      <c r="I23" s="585" t="s">
        <v>1004</v>
      </c>
      <c r="J23" s="586" t="str">
        <f>Results!C57</f>
        <v>NA</v>
      </c>
      <c r="K23" s="525"/>
      <c r="L23" s="512"/>
      <c r="M23" s="512"/>
      <c r="N23" s="512"/>
      <c r="O23" s="512"/>
      <c r="P23" s="512"/>
      <c r="Q23" s="512"/>
      <c r="R23" s="512"/>
      <c r="S23" s="512"/>
      <c r="T23" s="512"/>
      <c r="U23" s="512"/>
      <c r="V23" s="512"/>
      <c r="W23" s="512"/>
      <c r="X23" s="512"/>
      <c r="Y23" s="512"/>
      <c r="Z23" s="512"/>
      <c r="AA23" s="512"/>
      <c r="AB23" s="512"/>
      <c r="AC23" s="512"/>
      <c r="AD23" s="512"/>
      <c r="AE23" s="512"/>
      <c r="AF23" s="512"/>
      <c r="AG23" s="512"/>
    </row>
    <row r="24" spans="1:33" s="513" customFormat="1" ht="15" customHeight="1">
      <c r="A24" s="524"/>
      <c r="B24" s="757"/>
      <c r="C24" s="756"/>
      <c r="D24" s="727" t="s">
        <v>990</v>
      </c>
      <c r="E24" s="728"/>
      <c r="F24" s="728"/>
      <c r="G24" s="729"/>
      <c r="H24" s="585" t="e">
        <f>Results!N48</f>
        <v>#DIV/0!</v>
      </c>
      <c r="I24" s="585" t="s">
        <v>991</v>
      </c>
      <c r="J24" s="586" t="str">
        <f>Results!C58</f>
        <v>NA</v>
      </c>
      <c r="K24" s="525"/>
      <c r="L24" s="512"/>
      <c r="M24" s="512"/>
      <c r="N24" s="512"/>
      <c r="O24" s="512"/>
      <c r="P24" s="512"/>
      <c r="Q24" s="512"/>
      <c r="R24" s="512"/>
      <c r="S24" s="512"/>
      <c r="T24" s="512"/>
      <c r="U24" s="512"/>
      <c r="V24" s="512"/>
      <c r="W24" s="512"/>
      <c r="X24" s="512"/>
      <c r="Y24" s="512"/>
      <c r="Z24" s="512"/>
      <c r="AA24" s="512"/>
      <c r="AB24" s="512"/>
      <c r="AC24" s="512"/>
      <c r="AD24" s="512"/>
      <c r="AE24" s="512"/>
      <c r="AF24" s="512"/>
      <c r="AG24" s="512"/>
    </row>
    <row r="25" spans="1:33" s="513" customFormat="1" ht="15" customHeight="1">
      <c r="A25" s="524"/>
      <c r="B25" s="757"/>
      <c r="C25" s="756"/>
      <c r="D25" s="727" t="s">
        <v>992</v>
      </c>
      <c r="E25" s="728"/>
      <c r="F25" s="728"/>
      <c r="G25" s="729"/>
      <c r="H25" s="587" t="e">
        <f>Results!N49</f>
        <v>#DIV/0!</v>
      </c>
      <c r="I25" s="585" t="s">
        <v>1004</v>
      </c>
      <c r="J25" s="586" t="str">
        <f>Results!C59</f>
        <v>NA</v>
      </c>
      <c r="K25" s="525"/>
      <c r="L25" s="512"/>
      <c r="M25" s="512"/>
      <c r="N25" s="512"/>
      <c r="O25" s="512"/>
      <c r="P25" s="512"/>
      <c r="Q25" s="512"/>
      <c r="R25" s="512"/>
      <c r="S25" s="512"/>
      <c r="T25" s="512"/>
      <c r="U25" s="512"/>
      <c r="V25" s="512"/>
      <c r="W25" s="512"/>
      <c r="X25" s="512"/>
      <c r="Y25" s="512"/>
      <c r="Z25" s="512"/>
      <c r="AA25" s="512"/>
      <c r="AB25" s="512"/>
      <c r="AC25" s="512"/>
      <c r="AD25" s="512"/>
      <c r="AE25" s="512"/>
      <c r="AF25" s="512"/>
      <c r="AG25" s="512"/>
    </row>
    <row r="26" spans="1:33" s="513" customFormat="1" ht="15" customHeight="1">
      <c r="A26" s="524"/>
      <c r="B26" s="744"/>
      <c r="C26" s="746"/>
      <c r="D26" s="727" t="s">
        <v>993</v>
      </c>
      <c r="E26" s="728"/>
      <c r="F26" s="728"/>
      <c r="G26" s="729"/>
      <c r="H26" s="585" t="e">
        <f>Results!N50</f>
        <v>#DIV/0!</v>
      </c>
      <c r="I26" s="585" t="s">
        <v>994</v>
      </c>
      <c r="J26" s="586" t="str">
        <f>Results!C60</f>
        <v>NA</v>
      </c>
      <c r="K26" s="525"/>
      <c r="L26" s="512"/>
      <c r="M26" s="512"/>
      <c r="N26" s="512"/>
      <c r="O26" s="512"/>
      <c r="P26" s="512"/>
      <c r="Q26" s="512"/>
      <c r="R26" s="512"/>
      <c r="S26" s="512"/>
      <c r="T26" s="512"/>
      <c r="U26" s="512"/>
      <c r="V26" s="512"/>
      <c r="W26" s="512"/>
      <c r="X26" s="512"/>
      <c r="Y26" s="512"/>
      <c r="Z26" s="512"/>
      <c r="AA26" s="512"/>
      <c r="AB26" s="512"/>
      <c r="AC26" s="512"/>
      <c r="AD26" s="512"/>
      <c r="AE26" s="512"/>
      <c r="AF26" s="512"/>
      <c r="AG26" s="512"/>
    </row>
    <row r="27" spans="1:33" s="513" customFormat="1" ht="18.75" customHeight="1">
      <c r="A27" s="524"/>
      <c r="B27" s="737" t="s">
        <v>995</v>
      </c>
      <c r="C27" s="738"/>
      <c r="D27" s="738"/>
      <c r="E27" s="738"/>
      <c r="F27" s="738"/>
      <c r="G27" s="738"/>
      <c r="H27" s="738"/>
      <c r="I27" s="738"/>
      <c r="J27" s="739"/>
      <c r="K27" s="525"/>
      <c r="L27" s="512"/>
      <c r="M27" s="512"/>
      <c r="N27" s="512"/>
      <c r="O27" s="512"/>
      <c r="P27" s="512"/>
      <c r="Q27" s="512"/>
      <c r="R27" s="512"/>
      <c r="S27" s="512"/>
      <c r="T27" s="512"/>
      <c r="U27" s="512"/>
      <c r="V27" s="512"/>
      <c r="W27" s="512"/>
      <c r="X27" s="512"/>
      <c r="Y27" s="512"/>
      <c r="Z27" s="512"/>
      <c r="AA27" s="512"/>
      <c r="AB27" s="512"/>
      <c r="AC27" s="512"/>
      <c r="AD27" s="512"/>
      <c r="AE27" s="512"/>
      <c r="AF27" s="512"/>
      <c r="AG27" s="512"/>
    </row>
    <row r="28" spans="1:33" s="513" customFormat="1" ht="15" customHeight="1">
      <c r="A28" s="524"/>
      <c r="B28" s="743" t="s">
        <v>867</v>
      </c>
      <c r="C28" s="745"/>
      <c r="D28" s="718" t="s">
        <v>996</v>
      </c>
      <c r="E28" s="719"/>
      <c r="F28" s="719"/>
      <c r="G28" s="720"/>
      <c r="H28" s="585"/>
      <c r="I28" s="585" t="s">
        <v>154</v>
      </c>
      <c r="J28" s="600"/>
      <c r="K28" s="525"/>
      <c r="L28" s="512"/>
      <c r="M28" s="512"/>
      <c r="N28" s="512"/>
      <c r="O28" s="512"/>
      <c r="P28" s="512"/>
      <c r="Q28" s="512"/>
      <c r="R28" s="512"/>
      <c r="S28" s="512"/>
      <c r="T28" s="512"/>
      <c r="U28" s="512"/>
      <c r="V28" s="512"/>
      <c r="W28" s="512"/>
      <c r="X28" s="512"/>
      <c r="Y28" s="512"/>
      <c r="Z28" s="512"/>
      <c r="AA28" s="512"/>
      <c r="AB28" s="512"/>
      <c r="AC28" s="512"/>
      <c r="AD28" s="512"/>
      <c r="AE28" s="512"/>
      <c r="AF28" s="512"/>
      <c r="AG28" s="512"/>
    </row>
    <row r="29" spans="1:33" s="513" customFormat="1" ht="15" customHeight="1">
      <c r="A29" s="524"/>
      <c r="B29" s="757"/>
      <c r="C29" s="756"/>
      <c r="D29" s="718" t="s">
        <v>997</v>
      </c>
      <c r="E29" s="719"/>
      <c r="F29" s="719"/>
      <c r="G29" s="720"/>
      <c r="H29" s="585"/>
      <c r="I29" s="585" t="s">
        <v>154</v>
      </c>
      <c r="J29" s="600"/>
      <c r="K29" s="525"/>
      <c r="L29" s="512"/>
      <c r="M29" s="512"/>
      <c r="N29" s="512"/>
      <c r="O29" s="512"/>
      <c r="P29" s="512"/>
      <c r="Q29" s="512"/>
      <c r="R29" s="512"/>
      <c r="S29" s="512"/>
      <c r="T29" s="512"/>
      <c r="U29" s="512"/>
      <c r="V29" s="512"/>
      <c r="W29" s="512"/>
      <c r="X29" s="512"/>
      <c r="Y29" s="512"/>
      <c r="Z29" s="512"/>
      <c r="AA29" s="512"/>
      <c r="AB29" s="512"/>
      <c r="AC29" s="512"/>
      <c r="AD29" s="512"/>
      <c r="AE29" s="512"/>
      <c r="AF29" s="512"/>
      <c r="AG29" s="512"/>
    </row>
    <row r="30" spans="1:33" s="513" customFormat="1" ht="15" customHeight="1">
      <c r="A30" s="524"/>
      <c r="B30" s="757"/>
      <c r="C30" s="756"/>
      <c r="D30" s="721" t="s">
        <v>998</v>
      </c>
      <c r="E30" s="722"/>
      <c r="F30" s="722"/>
      <c r="G30" s="723"/>
      <c r="H30" s="585"/>
      <c r="I30" s="585" t="s">
        <v>999</v>
      </c>
      <c r="J30" s="600"/>
      <c r="K30" s="525"/>
      <c r="L30" s="512"/>
      <c r="M30" s="512"/>
      <c r="N30" s="512"/>
      <c r="O30" s="512"/>
      <c r="P30" s="512"/>
      <c r="Q30" s="512"/>
      <c r="R30" s="512"/>
      <c r="S30" s="512"/>
      <c r="T30" s="512"/>
      <c r="U30" s="512"/>
      <c r="V30" s="512"/>
      <c r="W30" s="512"/>
      <c r="X30" s="512"/>
      <c r="Y30" s="512"/>
      <c r="Z30" s="512"/>
      <c r="AA30" s="512"/>
      <c r="AB30" s="512"/>
      <c r="AC30" s="512"/>
      <c r="AD30" s="512"/>
      <c r="AE30" s="512"/>
      <c r="AF30" s="512"/>
      <c r="AG30" s="512"/>
    </row>
    <row r="31" spans="1:33" s="513" customFormat="1" ht="15" customHeight="1">
      <c r="A31" s="524"/>
      <c r="B31" s="757"/>
      <c r="C31" s="756"/>
      <c r="D31" s="721" t="s">
        <v>1000</v>
      </c>
      <c r="E31" s="722"/>
      <c r="F31" s="722"/>
      <c r="G31" s="723"/>
      <c r="H31" s="601"/>
      <c r="I31" s="601" t="s">
        <v>999</v>
      </c>
      <c r="J31" s="602"/>
      <c r="K31" s="525"/>
      <c r="L31" s="512"/>
      <c r="M31" s="512"/>
      <c r="N31" s="512"/>
      <c r="O31" s="512"/>
      <c r="P31" s="512"/>
      <c r="Q31" s="512"/>
      <c r="R31" s="512"/>
      <c r="S31" s="512"/>
      <c r="T31" s="512"/>
      <c r="U31" s="512"/>
      <c r="V31" s="512"/>
      <c r="W31" s="512"/>
      <c r="X31" s="512"/>
      <c r="Y31" s="512"/>
      <c r="Z31" s="512"/>
      <c r="AA31" s="512"/>
      <c r="AB31" s="512"/>
      <c r="AC31" s="512"/>
      <c r="AD31" s="512"/>
      <c r="AE31" s="512"/>
      <c r="AF31" s="512"/>
      <c r="AG31" s="512"/>
    </row>
    <row r="32" spans="1:33" s="513" customFormat="1" ht="18.75" customHeight="1">
      <c r="A32" s="524"/>
      <c r="B32" s="737" t="s">
        <v>866</v>
      </c>
      <c r="C32" s="738"/>
      <c r="D32" s="738"/>
      <c r="E32" s="738"/>
      <c r="F32" s="738"/>
      <c r="G32" s="738"/>
      <c r="H32" s="738"/>
      <c r="I32" s="738"/>
      <c r="J32" s="739"/>
      <c r="K32" s="525"/>
      <c r="L32" s="512"/>
      <c r="M32" s="512"/>
      <c r="N32" s="512"/>
      <c r="O32" s="512"/>
      <c r="P32" s="512"/>
      <c r="Q32" s="512"/>
      <c r="R32" s="512"/>
      <c r="S32" s="512"/>
      <c r="T32" s="512"/>
      <c r="U32" s="512"/>
      <c r="V32" s="512"/>
      <c r="W32" s="512"/>
      <c r="X32" s="512"/>
      <c r="Y32" s="512"/>
      <c r="Z32" s="512"/>
      <c r="AA32" s="512"/>
      <c r="AB32" s="512"/>
      <c r="AC32" s="512"/>
      <c r="AD32" s="512"/>
      <c r="AE32" s="512"/>
      <c r="AF32" s="512"/>
      <c r="AG32" s="512"/>
    </row>
    <row r="33" spans="1:33" ht="26.25" customHeight="1" thickBot="1">
      <c r="A33" s="526"/>
      <c r="B33" s="531" t="s">
        <v>867</v>
      </c>
      <c r="C33" s="582" t="str">
        <f>G63</f>
        <v>0</v>
      </c>
      <c r="D33" s="715" t="s">
        <v>1010</v>
      </c>
      <c r="E33" s="716"/>
      <c r="F33" s="716"/>
      <c r="G33" s="717"/>
      <c r="H33" s="583">
        <f>J59</f>
        <v>0</v>
      </c>
      <c r="I33" s="584" t="s">
        <v>1005</v>
      </c>
      <c r="J33" s="579"/>
      <c r="K33" s="527"/>
      <c r="L33" s="2"/>
      <c r="M33" s="2"/>
      <c r="N33" s="2"/>
      <c r="O33" s="2"/>
      <c r="P33" s="2"/>
      <c r="Q33" s="2"/>
      <c r="R33" s="2"/>
      <c r="S33" s="2"/>
      <c r="T33" s="2"/>
      <c r="U33" s="2"/>
      <c r="V33" s="2"/>
      <c r="W33" s="2"/>
      <c r="X33" s="2"/>
      <c r="Y33" s="2"/>
      <c r="Z33" s="2"/>
      <c r="AA33" s="2"/>
      <c r="AB33" s="2"/>
      <c r="AC33" s="2"/>
      <c r="AD33" s="2"/>
      <c r="AE33" s="2"/>
      <c r="AF33" s="2"/>
      <c r="AG33" s="2"/>
    </row>
    <row r="34" spans="1:33" ht="11.25">
      <c r="A34" s="526"/>
      <c r="B34" s="2"/>
      <c r="C34" s="2"/>
      <c r="D34" s="2"/>
      <c r="E34" s="2"/>
      <c r="F34" s="2"/>
      <c r="G34" s="2"/>
      <c r="H34" s="2"/>
      <c r="I34" s="2"/>
      <c r="J34" s="2"/>
      <c r="K34" s="527"/>
      <c r="L34" s="2"/>
      <c r="M34" s="2"/>
      <c r="N34" s="2"/>
      <c r="O34" s="2"/>
      <c r="P34" s="2"/>
      <c r="Q34" s="2"/>
      <c r="R34" s="2"/>
      <c r="S34" s="2"/>
      <c r="T34" s="2"/>
      <c r="U34" s="2"/>
      <c r="V34" s="2"/>
      <c r="W34" s="2"/>
      <c r="X34" s="2"/>
      <c r="Y34" s="2"/>
      <c r="Z34" s="2"/>
      <c r="AA34" s="2"/>
      <c r="AB34" s="2"/>
      <c r="AC34" s="2"/>
      <c r="AD34" s="2"/>
      <c r="AE34" s="2"/>
      <c r="AF34" s="2"/>
      <c r="AG34" s="2"/>
    </row>
    <row r="35" spans="1:33" ht="13.5">
      <c r="A35" s="709" t="s">
        <v>1006</v>
      </c>
      <c r="B35" s="710"/>
      <c r="C35" s="710"/>
      <c r="D35" s="710"/>
      <c r="E35" s="710"/>
      <c r="F35" s="710"/>
      <c r="G35" s="710"/>
      <c r="H35" s="710"/>
      <c r="I35" s="710"/>
      <c r="J35" s="710"/>
      <c r="K35" s="711"/>
      <c r="L35" s="514"/>
      <c r="M35" s="514"/>
      <c r="N35" s="514"/>
      <c r="O35" s="514"/>
      <c r="P35" s="514"/>
      <c r="Q35" s="514"/>
      <c r="R35" s="514"/>
      <c r="S35" s="514"/>
      <c r="T35" s="514"/>
      <c r="U35" s="514"/>
      <c r="V35" s="514"/>
      <c r="W35" s="514"/>
      <c r="X35" s="514"/>
      <c r="Y35" s="514"/>
      <c r="Z35" s="514"/>
      <c r="AA35" s="514"/>
      <c r="AB35" s="514"/>
      <c r="AC35" s="2"/>
      <c r="AD35" s="2"/>
      <c r="AE35" s="2"/>
      <c r="AF35" s="2"/>
      <c r="AG35" s="2"/>
    </row>
    <row r="36" spans="1:33" ht="11.25">
      <c r="A36" s="526"/>
      <c r="B36" s="2"/>
      <c r="C36" s="2"/>
      <c r="D36" s="2"/>
      <c r="E36" s="2"/>
      <c r="F36" s="2"/>
      <c r="G36" s="2"/>
      <c r="H36" s="2"/>
      <c r="I36" s="2"/>
      <c r="J36" s="2"/>
      <c r="K36" s="527"/>
      <c r="L36" s="2"/>
      <c r="M36" s="2"/>
      <c r="N36" s="2"/>
      <c r="O36" s="2"/>
      <c r="P36" s="2"/>
      <c r="Q36" s="2"/>
      <c r="R36" s="2"/>
      <c r="S36" s="2"/>
      <c r="T36" s="2"/>
      <c r="U36" s="2"/>
      <c r="V36" s="2"/>
      <c r="W36" s="2"/>
      <c r="X36" s="2"/>
      <c r="Y36" s="2"/>
      <c r="Z36" s="2"/>
      <c r="AA36" s="2"/>
      <c r="AB36" s="2"/>
      <c r="AC36" s="2"/>
      <c r="AD36" s="2"/>
      <c r="AE36" s="2"/>
      <c r="AF36" s="2"/>
      <c r="AG36" s="2"/>
    </row>
    <row r="37" spans="1:33" ht="12" customHeight="1">
      <c r="A37" s="700" t="s">
        <v>1009</v>
      </c>
      <c r="B37" s="701"/>
      <c r="C37" s="701"/>
      <c r="D37" s="701"/>
      <c r="E37" s="701"/>
      <c r="F37" s="701"/>
      <c r="G37" s="701"/>
      <c r="H37" s="701"/>
      <c r="I37" s="701"/>
      <c r="J37" s="701"/>
      <c r="K37" s="702"/>
      <c r="L37" s="2"/>
      <c r="M37" s="2"/>
      <c r="N37" s="2"/>
      <c r="O37" s="2"/>
      <c r="P37" s="2"/>
      <c r="Q37" s="2"/>
      <c r="R37" s="2"/>
      <c r="S37" s="2"/>
      <c r="T37" s="2"/>
      <c r="U37" s="2"/>
      <c r="V37" s="2"/>
      <c r="W37" s="2"/>
      <c r="X37" s="2"/>
      <c r="Y37" s="2"/>
      <c r="Z37" s="2"/>
      <c r="AA37" s="2"/>
      <c r="AB37" s="2"/>
      <c r="AC37" s="2"/>
      <c r="AD37" s="2"/>
      <c r="AE37" s="2"/>
      <c r="AF37" s="2"/>
      <c r="AG37" s="2"/>
    </row>
    <row r="38" spans="1:33" ht="24" customHeight="1">
      <c r="A38" s="697" t="s">
        <v>1008</v>
      </c>
      <c r="B38" s="698"/>
      <c r="C38" s="698"/>
      <c r="D38" s="698"/>
      <c r="E38" s="698"/>
      <c r="F38" s="698"/>
      <c r="G38" s="698"/>
      <c r="H38" s="698"/>
      <c r="I38" s="698"/>
      <c r="J38" s="698"/>
      <c r="K38" s="699"/>
      <c r="L38" s="2"/>
      <c r="M38" s="2"/>
      <c r="N38" s="2"/>
      <c r="O38" s="2"/>
      <c r="P38" s="2"/>
      <c r="Q38" s="2"/>
      <c r="R38" s="2"/>
      <c r="S38" s="2"/>
      <c r="T38" s="2"/>
      <c r="U38" s="2"/>
      <c r="V38" s="2"/>
      <c r="W38" s="2"/>
      <c r="X38" s="2"/>
      <c r="Y38" s="2"/>
      <c r="Z38" s="2"/>
      <c r="AA38" s="2"/>
      <c r="AB38" s="2"/>
      <c r="AC38" s="2"/>
      <c r="AD38" s="2"/>
      <c r="AE38" s="2"/>
      <c r="AF38" s="2"/>
      <c r="AG38" s="2"/>
    </row>
    <row r="39" spans="1:33" ht="12" thickBot="1">
      <c r="A39" s="528"/>
      <c r="B39" s="529"/>
      <c r="C39" s="529"/>
      <c r="D39" s="529"/>
      <c r="E39" s="529"/>
      <c r="F39" s="529"/>
      <c r="G39" s="529"/>
      <c r="H39" s="529"/>
      <c r="I39" s="529"/>
      <c r="J39" s="529"/>
      <c r="K39" s="530"/>
      <c r="L39" s="2"/>
      <c r="M39" s="2"/>
      <c r="N39" s="2"/>
      <c r="O39" s="2"/>
      <c r="P39" s="2"/>
      <c r="Q39" s="2"/>
      <c r="R39" s="2"/>
      <c r="S39" s="2"/>
      <c r="T39" s="2"/>
      <c r="U39" s="2"/>
      <c r="V39" s="2"/>
      <c r="W39" s="2"/>
      <c r="X39" s="2"/>
      <c r="Y39" s="2"/>
      <c r="Z39" s="2"/>
      <c r="AA39" s="2"/>
      <c r="AB39" s="2"/>
      <c r="AC39" s="2"/>
      <c r="AD39" s="2"/>
      <c r="AE39" s="2"/>
      <c r="AF39" s="2"/>
      <c r="AG39" s="2"/>
    </row>
    <row r="40" spans="12:33" ht="12" thickBot="1" thickTop="1">
      <c r="L40" s="2"/>
      <c r="M40" s="2"/>
      <c r="N40" s="2"/>
      <c r="O40" s="2"/>
      <c r="P40" s="2"/>
      <c r="Q40" s="2"/>
      <c r="R40" s="2"/>
      <c r="S40" s="2"/>
      <c r="T40" s="2"/>
      <c r="U40" s="2"/>
      <c r="V40" s="2"/>
      <c r="W40" s="2"/>
      <c r="X40" s="2"/>
      <c r="Y40" s="2"/>
      <c r="Z40" s="2"/>
      <c r="AA40" s="2"/>
      <c r="AB40" s="2"/>
      <c r="AC40" s="2"/>
      <c r="AD40" s="2"/>
      <c r="AE40" s="2"/>
      <c r="AF40" s="2"/>
      <c r="AG40" s="2"/>
    </row>
    <row r="41" spans="1:22" ht="12" thickTop="1">
      <c r="A41" s="519"/>
      <c r="B41" s="520"/>
      <c r="C41" s="520"/>
      <c r="D41" s="520"/>
      <c r="E41" s="520"/>
      <c r="F41" s="520"/>
      <c r="G41" s="520"/>
      <c r="H41" s="520"/>
      <c r="I41" s="520"/>
      <c r="J41" s="520"/>
      <c r="K41" s="521"/>
      <c r="L41" s="2"/>
      <c r="M41" s="2"/>
      <c r="N41" s="2"/>
      <c r="O41" s="2"/>
      <c r="P41" s="2"/>
      <c r="Q41" s="2"/>
      <c r="R41" s="2"/>
      <c r="S41" s="2"/>
      <c r="T41" s="2"/>
      <c r="U41" s="2"/>
      <c r="V41" s="2"/>
    </row>
    <row r="42" spans="1:22" ht="73.5" customHeight="1">
      <c r="A42" s="692"/>
      <c r="B42" s="642"/>
      <c r="C42" s="642"/>
      <c r="D42" s="642"/>
      <c r="E42" s="642"/>
      <c r="F42" s="642"/>
      <c r="G42" s="642"/>
      <c r="H42" s="642"/>
      <c r="I42" s="642"/>
      <c r="J42" s="642"/>
      <c r="K42" s="693"/>
      <c r="L42" s="2"/>
      <c r="M42" s="2"/>
      <c r="N42" s="2"/>
      <c r="O42" s="2"/>
      <c r="P42" s="2"/>
      <c r="Q42" s="2"/>
      <c r="R42" s="2"/>
      <c r="S42" s="2"/>
      <c r="T42" s="2"/>
      <c r="U42" s="2"/>
      <c r="V42" s="2"/>
    </row>
    <row r="43" spans="1:22" ht="24" customHeight="1">
      <c r="A43" s="694" t="s">
        <v>1019</v>
      </c>
      <c r="B43" s="695"/>
      <c r="C43" s="695"/>
      <c r="D43" s="695"/>
      <c r="E43" s="695"/>
      <c r="F43" s="695"/>
      <c r="G43" s="695"/>
      <c r="H43" s="695"/>
      <c r="I43" s="695"/>
      <c r="J43" s="695"/>
      <c r="K43" s="696"/>
      <c r="L43" s="2"/>
      <c r="M43" s="2"/>
      <c r="N43" s="2"/>
      <c r="O43" s="2"/>
      <c r="P43" s="2"/>
      <c r="Q43" s="2"/>
      <c r="R43" s="2"/>
      <c r="S43" s="2"/>
      <c r="T43" s="2"/>
      <c r="U43" s="2"/>
      <c r="V43" s="2"/>
    </row>
    <row r="44" spans="1:22" ht="11.25">
      <c r="A44" s="603"/>
      <c r="B44" s="303"/>
      <c r="C44" s="303"/>
      <c r="D44" s="303"/>
      <c r="E44" s="303"/>
      <c r="F44" s="303"/>
      <c r="G44" s="303"/>
      <c r="H44" s="303"/>
      <c r="I44" s="303"/>
      <c r="J44" s="303"/>
      <c r="K44" s="604"/>
      <c r="L44" s="2"/>
      <c r="M44" s="2"/>
      <c r="N44" s="2"/>
      <c r="O44" s="2"/>
      <c r="P44" s="2"/>
      <c r="Q44" s="2"/>
      <c r="R44" s="2"/>
      <c r="S44" s="2"/>
      <c r="T44" s="2"/>
      <c r="U44" s="2"/>
      <c r="V44" s="2"/>
    </row>
    <row r="45" spans="1:22" ht="11.25">
      <c r="A45" s="706" t="s">
        <v>1140</v>
      </c>
      <c r="B45" s="707"/>
      <c r="C45" s="707"/>
      <c r="D45" s="707"/>
      <c r="E45" s="707"/>
      <c r="F45" s="707"/>
      <c r="G45" s="707"/>
      <c r="H45" s="707"/>
      <c r="I45" s="707"/>
      <c r="J45" s="707"/>
      <c r="K45" s="708"/>
      <c r="L45" s="2"/>
      <c r="M45" s="2"/>
      <c r="N45" s="2"/>
      <c r="O45" s="2"/>
      <c r="P45" s="2"/>
      <c r="Q45" s="2"/>
      <c r="R45" s="2"/>
      <c r="S45" s="2"/>
      <c r="T45" s="2"/>
      <c r="U45" s="2"/>
      <c r="V45" s="2"/>
    </row>
    <row r="46" spans="1:22" ht="11.25">
      <c r="A46" s="703" t="s">
        <v>1139</v>
      </c>
      <c r="B46" s="704"/>
      <c r="C46" s="704"/>
      <c r="D46" s="704"/>
      <c r="E46" s="704"/>
      <c r="F46" s="704"/>
      <c r="G46" s="704"/>
      <c r="H46" s="704"/>
      <c r="I46" s="704"/>
      <c r="J46" s="704"/>
      <c r="K46" s="705"/>
      <c r="L46" s="2"/>
      <c r="M46" s="2"/>
      <c r="N46" s="2"/>
      <c r="O46" s="2"/>
      <c r="P46" s="2"/>
      <c r="Q46" s="2"/>
      <c r="R46" s="2"/>
      <c r="S46" s="2"/>
      <c r="T46" s="2"/>
      <c r="U46" s="2"/>
      <c r="V46" s="2"/>
    </row>
    <row r="47" spans="1:22" ht="12" thickBot="1">
      <c r="A47" s="526"/>
      <c r="B47" s="2"/>
      <c r="C47" s="2"/>
      <c r="D47" s="2"/>
      <c r="E47" s="2"/>
      <c r="F47" s="2"/>
      <c r="G47" s="2"/>
      <c r="H47" s="2"/>
      <c r="I47" s="2"/>
      <c r="J47" s="2"/>
      <c r="K47" s="527"/>
      <c r="L47" s="2"/>
      <c r="M47" s="2"/>
      <c r="N47" s="2"/>
      <c r="O47" s="2"/>
      <c r="P47" s="2"/>
      <c r="Q47" s="2"/>
      <c r="R47" s="2"/>
      <c r="S47" s="2"/>
      <c r="T47" s="2"/>
      <c r="U47" s="2"/>
      <c r="V47" s="2"/>
    </row>
    <row r="48" spans="1:22" ht="12.75" customHeight="1" thickBot="1">
      <c r="A48" s="526"/>
      <c r="B48" s="712" t="s">
        <v>1020</v>
      </c>
      <c r="C48" s="713"/>
      <c r="D48" s="713"/>
      <c r="E48" s="713"/>
      <c r="F48" s="713"/>
      <c r="G48" s="714"/>
      <c r="H48" s="576" t="s">
        <v>1033</v>
      </c>
      <c r="I48" s="576" t="s">
        <v>1021</v>
      </c>
      <c r="J48" s="577" t="s">
        <v>1036</v>
      </c>
      <c r="K48" s="527"/>
      <c r="L48" s="2"/>
      <c r="M48" s="2"/>
      <c r="N48" s="2"/>
      <c r="O48" s="2"/>
      <c r="P48" s="2"/>
      <c r="Q48" s="2"/>
      <c r="R48" s="2"/>
      <c r="S48" s="2"/>
      <c r="T48" s="2"/>
      <c r="U48" s="2"/>
      <c r="V48" s="2"/>
    </row>
    <row r="49" spans="1:22" ht="11.25">
      <c r="A49" s="526"/>
      <c r="B49" s="689" t="s">
        <v>1023</v>
      </c>
      <c r="C49" s="690"/>
      <c r="D49" s="690"/>
      <c r="E49" s="690"/>
      <c r="F49" s="690"/>
      <c r="G49" s="691"/>
      <c r="H49" s="573"/>
      <c r="I49" s="574">
        <v>1.5</v>
      </c>
      <c r="J49" s="575">
        <f>H49*I49</f>
        <v>0</v>
      </c>
      <c r="K49" s="527"/>
      <c r="L49" s="2"/>
      <c r="M49" s="2"/>
      <c r="N49" s="2"/>
      <c r="O49" s="2"/>
      <c r="P49" s="2"/>
      <c r="Q49" s="2"/>
      <c r="R49" s="2"/>
      <c r="S49" s="2"/>
      <c r="T49" s="2"/>
      <c r="U49" s="2"/>
      <c r="V49" s="2"/>
    </row>
    <row r="50" spans="1:22" ht="11.25">
      <c r="A50" s="526"/>
      <c r="B50" s="680" t="s">
        <v>1024</v>
      </c>
      <c r="C50" s="681"/>
      <c r="D50" s="681"/>
      <c r="E50" s="681"/>
      <c r="F50" s="681"/>
      <c r="G50" s="682"/>
      <c r="H50" s="571"/>
      <c r="I50" s="567">
        <v>3</v>
      </c>
      <c r="J50" s="575">
        <f aca="true" t="shared" si="0" ref="J50:J58">H50*I50</f>
        <v>0</v>
      </c>
      <c r="K50" s="527"/>
      <c r="L50" s="2"/>
      <c r="M50" s="2"/>
      <c r="N50" s="2"/>
      <c r="O50" s="2"/>
      <c r="P50" s="2"/>
      <c r="Q50" s="2"/>
      <c r="R50" s="2"/>
      <c r="S50" s="2"/>
      <c r="T50" s="2"/>
      <c r="U50" s="2"/>
      <c r="V50" s="2"/>
    </row>
    <row r="51" spans="1:22" ht="11.25">
      <c r="A51" s="526"/>
      <c r="B51" s="680" t="s">
        <v>1025</v>
      </c>
      <c r="C51" s="681"/>
      <c r="D51" s="681"/>
      <c r="E51" s="681"/>
      <c r="F51" s="681"/>
      <c r="G51" s="682"/>
      <c r="H51" s="571"/>
      <c r="I51" s="567">
        <v>2.5</v>
      </c>
      <c r="J51" s="575">
        <f t="shared" si="0"/>
        <v>0</v>
      </c>
      <c r="K51" s="527"/>
      <c r="L51" s="2"/>
      <c r="M51" s="2"/>
      <c r="N51" s="2"/>
      <c r="O51" s="2"/>
      <c r="P51" s="2"/>
      <c r="Q51" s="2"/>
      <c r="R51" s="2"/>
      <c r="S51" s="2"/>
      <c r="T51" s="2"/>
      <c r="U51" s="2"/>
      <c r="V51" s="2"/>
    </row>
    <row r="52" spans="1:22" ht="11.25">
      <c r="A52" s="526"/>
      <c r="B52" s="680" t="s">
        <v>1026</v>
      </c>
      <c r="C52" s="681"/>
      <c r="D52" s="681"/>
      <c r="E52" s="681"/>
      <c r="F52" s="681"/>
      <c r="G52" s="682"/>
      <c r="H52" s="571"/>
      <c r="I52" s="567">
        <v>2</v>
      </c>
      <c r="J52" s="575">
        <f t="shared" si="0"/>
        <v>0</v>
      </c>
      <c r="K52" s="527"/>
      <c r="L52" s="2"/>
      <c r="M52" s="2"/>
      <c r="N52" s="2"/>
      <c r="O52" s="2"/>
      <c r="P52" s="2"/>
      <c r="Q52" s="2"/>
      <c r="R52" s="2"/>
      <c r="S52" s="2"/>
      <c r="T52" s="2"/>
      <c r="U52" s="2"/>
      <c r="V52" s="2"/>
    </row>
    <row r="53" spans="1:22" ht="11.25">
      <c r="A53" s="526"/>
      <c r="B53" s="680" t="s">
        <v>1027</v>
      </c>
      <c r="C53" s="681"/>
      <c r="D53" s="681"/>
      <c r="E53" s="681"/>
      <c r="F53" s="681"/>
      <c r="G53" s="682"/>
      <c r="H53" s="571"/>
      <c r="I53" s="567">
        <v>2</v>
      </c>
      <c r="J53" s="575">
        <f t="shared" si="0"/>
        <v>0</v>
      </c>
      <c r="K53" s="527"/>
      <c r="L53" s="2"/>
      <c r="M53" s="2"/>
      <c r="N53" s="2"/>
      <c r="O53" s="2"/>
      <c r="P53" s="2"/>
      <c r="Q53" s="2"/>
      <c r="R53" s="2"/>
      <c r="S53" s="2"/>
      <c r="T53" s="2"/>
      <c r="U53" s="2"/>
      <c r="V53" s="2"/>
    </row>
    <row r="54" spans="1:22" ht="11.25">
      <c r="A54" s="526"/>
      <c r="B54" s="680" t="s">
        <v>1028</v>
      </c>
      <c r="C54" s="681"/>
      <c r="D54" s="681"/>
      <c r="E54" s="681"/>
      <c r="F54" s="681"/>
      <c r="G54" s="682"/>
      <c r="H54" s="571"/>
      <c r="I54" s="567">
        <v>2.5</v>
      </c>
      <c r="J54" s="575">
        <f t="shared" si="0"/>
        <v>0</v>
      </c>
      <c r="K54" s="527"/>
      <c r="L54" s="2"/>
      <c r="M54" s="2"/>
      <c r="N54" s="2"/>
      <c r="O54" s="2"/>
      <c r="P54" s="2"/>
      <c r="Q54" s="2"/>
      <c r="R54" s="2"/>
      <c r="S54" s="2"/>
      <c r="T54" s="2"/>
      <c r="U54" s="2"/>
      <c r="V54" s="2"/>
    </row>
    <row r="55" spans="1:22" ht="11.25">
      <c r="A55" s="526"/>
      <c r="B55" s="680" t="s">
        <v>1029</v>
      </c>
      <c r="C55" s="681"/>
      <c r="D55" s="681"/>
      <c r="E55" s="681"/>
      <c r="F55" s="681"/>
      <c r="G55" s="682"/>
      <c r="H55" s="571"/>
      <c r="I55" s="567">
        <v>2</v>
      </c>
      <c r="J55" s="575">
        <f t="shared" si="0"/>
        <v>0</v>
      </c>
      <c r="K55" s="527"/>
      <c r="L55" s="2"/>
      <c r="M55" s="2"/>
      <c r="N55" s="2"/>
      <c r="O55" s="2"/>
      <c r="P55" s="2"/>
      <c r="Q55" s="2"/>
      <c r="R55" s="2"/>
      <c r="S55" s="2"/>
      <c r="T55" s="2"/>
      <c r="U55" s="2"/>
      <c r="V55" s="2"/>
    </row>
    <row r="56" spans="1:22" ht="11.25">
      <c r="A56" s="526"/>
      <c r="B56" s="680" t="s">
        <v>1030</v>
      </c>
      <c r="C56" s="681"/>
      <c r="D56" s="681"/>
      <c r="E56" s="681"/>
      <c r="F56" s="681"/>
      <c r="G56" s="682"/>
      <c r="H56" s="571"/>
      <c r="I56" s="567">
        <v>2.5</v>
      </c>
      <c r="J56" s="575">
        <f t="shared" si="0"/>
        <v>0</v>
      </c>
      <c r="K56" s="527"/>
      <c r="L56" s="2"/>
      <c r="M56" s="2"/>
      <c r="N56" s="2"/>
      <c r="O56" s="2"/>
      <c r="P56" s="2"/>
      <c r="Q56" s="2"/>
      <c r="R56" s="2"/>
      <c r="S56" s="2"/>
      <c r="T56" s="2"/>
      <c r="U56" s="2"/>
      <c r="V56" s="2"/>
    </row>
    <row r="57" spans="1:22" ht="11.25">
      <c r="A57" s="526"/>
      <c r="B57" s="680" t="s">
        <v>1031</v>
      </c>
      <c r="C57" s="681"/>
      <c r="D57" s="681"/>
      <c r="E57" s="681"/>
      <c r="F57" s="681"/>
      <c r="G57" s="682"/>
      <c r="H57" s="571"/>
      <c r="I57" s="567">
        <v>3</v>
      </c>
      <c r="J57" s="575">
        <f t="shared" si="0"/>
        <v>0</v>
      </c>
      <c r="K57" s="527"/>
      <c r="L57" s="2"/>
      <c r="M57" s="2"/>
      <c r="N57" s="2"/>
      <c r="O57" s="2"/>
      <c r="P57" s="2"/>
      <c r="Q57" s="2"/>
      <c r="R57" s="2"/>
      <c r="S57" s="2"/>
      <c r="T57" s="2"/>
      <c r="U57" s="2"/>
      <c r="V57" s="2"/>
    </row>
    <row r="58" spans="1:22" ht="13.5" customHeight="1" thickBot="1">
      <c r="A58" s="526"/>
      <c r="B58" s="683" t="s">
        <v>1032</v>
      </c>
      <c r="C58" s="684"/>
      <c r="D58" s="684"/>
      <c r="E58" s="684"/>
      <c r="F58" s="684"/>
      <c r="G58" s="685"/>
      <c r="H58" s="572"/>
      <c r="I58" s="568">
        <v>4</v>
      </c>
      <c r="J58" s="578">
        <f t="shared" si="0"/>
        <v>0</v>
      </c>
      <c r="K58" s="527"/>
      <c r="L58" s="2"/>
      <c r="M58" s="2"/>
      <c r="N58" s="2"/>
      <c r="O58" s="2"/>
      <c r="P58" s="2"/>
      <c r="Q58" s="2"/>
      <c r="R58" s="2"/>
      <c r="S58" s="2"/>
      <c r="T58" s="2"/>
      <c r="U58" s="2"/>
      <c r="V58" s="2"/>
    </row>
    <row r="59" spans="1:22" ht="12" thickBot="1">
      <c r="A59" s="526"/>
      <c r="B59" s="2"/>
      <c r="C59" s="2"/>
      <c r="D59" s="2"/>
      <c r="E59" s="2"/>
      <c r="F59" s="2"/>
      <c r="H59" s="2"/>
      <c r="I59" s="569" t="s">
        <v>1022</v>
      </c>
      <c r="J59" s="570">
        <f>SUM(J49:J58)</f>
        <v>0</v>
      </c>
      <c r="K59" s="527"/>
      <c r="L59" s="2"/>
      <c r="M59" s="2"/>
      <c r="N59" s="2"/>
      <c r="O59" s="2"/>
      <c r="P59" s="2"/>
      <c r="Q59" s="2"/>
      <c r="R59" s="2"/>
      <c r="S59" s="2"/>
      <c r="T59" s="2"/>
      <c r="U59" s="2"/>
      <c r="V59" s="2"/>
    </row>
    <row r="60" spans="1:22" ht="12" thickBot="1">
      <c r="A60" s="526"/>
      <c r="B60" s="2"/>
      <c r="C60" s="2"/>
      <c r="D60" s="2"/>
      <c r="E60" s="2"/>
      <c r="F60" s="2"/>
      <c r="G60" s="2"/>
      <c r="H60" s="2"/>
      <c r="I60" s="2"/>
      <c r="J60" s="2"/>
      <c r="K60" s="527"/>
      <c r="L60" s="2"/>
      <c r="M60" s="2"/>
      <c r="N60" s="2"/>
      <c r="O60" s="2"/>
      <c r="P60" s="2"/>
      <c r="Q60" s="2"/>
      <c r="R60" s="2"/>
      <c r="S60" s="2"/>
      <c r="T60" s="2"/>
      <c r="U60" s="2"/>
      <c r="V60" s="2"/>
    </row>
    <row r="61" spans="1:22" ht="23.25" customHeight="1" thickBot="1">
      <c r="A61" s="526"/>
      <c r="B61" s="2"/>
      <c r="D61" s="686" t="s">
        <v>1034</v>
      </c>
      <c r="E61" s="687"/>
      <c r="F61" s="688"/>
      <c r="G61" s="580" t="str">
        <f>IF(J59&lt;=75,"Poor",IF(J59&lt;=83,"Fair",IF(J59&lt;=92,"Good","Best")))</f>
        <v>Poor</v>
      </c>
      <c r="H61" s="581"/>
      <c r="I61" s="2"/>
      <c r="J61" s="2"/>
      <c r="K61" s="527"/>
      <c r="L61" s="2"/>
      <c r="M61" s="2"/>
      <c r="N61" s="2"/>
      <c r="O61" s="2"/>
      <c r="P61" s="2"/>
      <c r="Q61" s="2"/>
      <c r="R61" s="2"/>
      <c r="S61" s="2"/>
      <c r="T61" s="2"/>
      <c r="U61" s="2"/>
      <c r="V61" s="2"/>
    </row>
    <row r="62" spans="1:22" ht="12" thickBot="1">
      <c r="A62" s="526"/>
      <c r="B62" s="2"/>
      <c r="C62" s="2"/>
      <c r="D62" s="2"/>
      <c r="E62" s="2"/>
      <c r="F62" s="2"/>
      <c r="G62" s="2"/>
      <c r="H62" s="2"/>
      <c r="I62" s="2"/>
      <c r="J62" s="2"/>
      <c r="K62" s="527"/>
      <c r="L62" s="2"/>
      <c r="M62" s="2"/>
      <c r="N62" s="2"/>
      <c r="O62" s="2"/>
      <c r="P62" s="2"/>
      <c r="Q62" s="2"/>
      <c r="R62" s="2"/>
      <c r="S62" s="2"/>
      <c r="T62" s="2"/>
      <c r="U62" s="2"/>
      <c r="V62" s="2"/>
    </row>
    <row r="63" spans="1:22" ht="23.25" customHeight="1" thickBot="1">
      <c r="A63" s="526"/>
      <c r="B63" s="2"/>
      <c r="D63" s="686" t="s">
        <v>1035</v>
      </c>
      <c r="E63" s="687"/>
      <c r="F63" s="688"/>
      <c r="G63" s="580" t="str">
        <f>IF(J59&lt;45,"0",IF(J59&lt;75,"1",IF(J59&lt;88,"2",IF(J59&lt;95,"3","4"))))</f>
        <v>0</v>
      </c>
      <c r="H63" s="581"/>
      <c r="I63" s="2"/>
      <c r="J63" s="2"/>
      <c r="K63" s="527"/>
      <c r="L63" s="2"/>
      <c r="M63" s="2"/>
      <c r="N63" s="2"/>
      <c r="O63" s="2"/>
      <c r="P63" s="2"/>
      <c r="Q63" s="2"/>
      <c r="R63" s="2"/>
      <c r="S63" s="2"/>
      <c r="T63" s="2"/>
      <c r="U63" s="2"/>
      <c r="V63" s="2"/>
    </row>
    <row r="64" spans="1:22" ht="11.25">
      <c r="A64" s="526"/>
      <c r="B64" s="2"/>
      <c r="C64" s="2"/>
      <c r="D64" s="2"/>
      <c r="E64" s="2"/>
      <c r="F64" s="2"/>
      <c r="G64" s="2"/>
      <c r="H64" s="2"/>
      <c r="I64" s="2"/>
      <c r="J64" s="2"/>
      <c r="K64" s="527"/>
      <c r="L64" s="2"/>
      <c r="M64" s="2"/>
      <c r="N64" s="2"/>
      <c r="O64" s="2"/>
      <c r="P64" s="2"/>
      <c r="Q64" s="2"/>
      <c r="R64" s="2"/>
      <c r="S64" s="2"/>
      <c r="T64" s="2"/>
      <c r="U64" s="2"/>
      <c r="V64" s="2"/>
    </row>
    <row r="65" spans="1:22" ht="11.25">
      <c r="A65" s="526"/>
      <c r="B65" s="2"/>
      <c r="C65" s="2"/>
      <c r="D65" s="2"/>
      <c r="E65" s="2"/>
      <c r="F65" s="2"/>
      <c r="G65" s="2"/>
      <c r="H65" s="2"/>
      <c r="I65" s="2"/>
      <c r="J65" s="2"/>
      <c r="K65" s="527"/>
      <c r="L65" s="2"/>
      <c r="M65" s="2"/>
      <c r="N65" s="2"/>
      <c r="O65" s="2"/>
      <c r="P65" s="2"/>
      <c r="Q65" s="2"/>
      <c r="R65" s="2"/>
      <c r="S65" s="2"/>
      <c r="T65" s="2"/>
      <c r="U65" s="2"/>
      <c r="V65" s="2"/>
    </row>
    <row r="66" spans="1:22" ht="11.25">
      <c r="A66" s="526"/>
      <c r="B66" s="2"/>
      <c r="C66" s="2"/>
      <c r="D66" s="2"/>
      <c r="E66" s="2"/>
      <c r="F66" s="2"/>
      <c r="G66" s="2"/>
      <c r="H66" s="2"/>
      <c r="I66" s="2"/>
      <c r="J66" s="2"/>
      <c r="K66" s="527"/>
      <c r="L66" s="2"/>
      <c r="M66" s="2"/>
      <c r="N66" s="2"/>
      <c r="O66" s="2"/>
      <c r="P66" s="2"/>
      <c r="Q66" s="2"/>
      <c r="R66" s="2"/>
      <c r="S66" s="2"/>
      <c r="T66" s="2"/>
      <c r="U66" s="2"/>
      <c r="V66" s="2"/>
    </row>
    <row r="67" spans="1:22" ht="11.25">
      <c r="A67" s="526"/>
      <c r="B67" s="2"/>
      <c r="C67" s="2"/>
      <c r="D67" s="2"/>
      <c r="E67" s="2"/>
      <c r="F67" s="2"/>
      <c r="G67" s="2"/>
      <c r="H67" s="2"/>
      <c r="I67" s="2"/>
      <c r="J67" s="2"/>
      <c r="K67" s="527"/>
      <c r="L67" s="2"/>
      <c r="M67" s="2"/>
      <c r="N67" s="2"/>
      <c r="O67" s="2"/>
      <c r="P67" s="2"/>
      <c r="Q67" s="2"/>
      <c r="R67" s="2"/>
      <c r="S67" s="2"/>
      <c r="T67" s="2"/>
      <c r="U67" s="2"/>
      <c r="V67" s="2"/>
    </row>
    <row r="68" spans="1:22" ht="11.25">
      <c r="A68" s="526"/>
      <c r="B68" s="2"/>
      <c r="C68" s="2"/>
      <c r="D68" s="2"/>
      <c r="E68" s="2"/>
      <c r="F68" s="2"/>
      <c r="G68" s="2"/>
      <c r="H68" s="2"/>
      <c r="I68" s="2"/>
      <c r="J68" s="2"/>
      <c r="K68" s="527"/>
      <c r="L68" s="2"/>
      <c r="M68" s="2"/>
      <c r="N68" s="2"/>
      <c r="O68" s="2"/>
      <c r="P68" s="2"/>
      <c r="Q68" s="2"/>
      <c r="R68" s="2"/>
      <c r="S68" s="2"/>
      <c r="T68" s="2"/>
      <c r="U68" s="2"/>
      <c r="V68" s="2"/>
    </row>
    <row r="69" spans="1:22" ht="11.25">
      <c r="A69" s="526"/>
      <c r="B69" s="2"/>
      <c r="C69" s="2"/>
      <c r="D69" s="2"/>
      <c r="E69" s="2"/>
      <c r="F69" s="2"/>
      <c r="G69" s="2"/>
      <c r="H69" s="2"/>
      <c r="I69" s="2"/>
      <c r="J69" s="2"/>
      <c r="K69" s="527"/>
      <c r="L69" s="2"/>
      <c r="M69" s="2"/>
      <c r="N69" s="2"/>
      <c r="O69" s="2"/>
      <c r="P69" s="2"/>
      <c r="Q69" s="2"/>
      <c r="R69" s="2"/>
      <c r="S69" s="2"/>
      <c r="T69" s="2"/>
      <c r="U69" s="2"/>
      <c r="V69" s="2"/>
    </row>
    <row r="70" spans="1:22" ht="11.25">
      <c r="A70" s="526"/>
      <c r="B70" s="2"/>
      <c r="C70" s="2"/>
      <c r="D70" s="2"/>
      <c r="E70" s="2"/>
      <c r="F70" s="2"/>
      <c r="G70" s="2"/>
      <c r="H70" s="2"/>
      <c r="I70" s="2"/>
      <c r="J70" s="2"/>
      <c r="K70" s="527"/>
      <c r="L70" s="2"/>
      <c r="M70" s="2"/>
      <c r="N70" s="2"/>
      <c r="O70" s="2"/>
      <c r="P70" s="2"/>
      <c r="Q70" s="2"/>
      <c r="R70" s="2"/>
      <c r="S70" s="2"/>
      <c r="T70" s="2"/>
      <c r="U70" s="2"/>
      <c r="V70" s="2"/>
    </row>
    <row r="71" spans="1:22" ht="11.25">
      <c r="A71" s="526"/>
      <c r="B71" s="2"/>
      <c r="C71" s="2"/>
      <c r="D71" s="2"/>
      <c r="E71" s="2"/>
      <c r="F71" s="2"/>
      <c r="G71" s="2"/>
      <c r="H71" s="2"/>
      <c r="I71" s="2"/>
      <c r="J71" s="2"/>
      <c r="K71" s="527"/>
      <c r="L71" s="2"/>
      <c r="M71" s="2"/>
      <c r="N71" s="2"/>
      <c r="O71" s="2"/>
      <c r="P71" s="2"/>
      <c r="Q71" s="2"/>
      <c r="R71" s="2"/>
      <c r="S71" s="2"/>
      <c r="T71" s="2"/>
      <c r="U71" s="2"/>
      <c r="V71" s="2"/>
    </row>
    <row r="72" spans="1:22" ht="11.25">
      <c r="A72" s="526"/>
      <c r="B72" s="2"/>
      <c r="C72" s="2"/>
      <c r="D72" s="2"/>
      <c r="E72" s="2"/>
      <c r="F72" s="2"/>
      <c r="G72" s="2"/>
      <c r="H72" s="2"/>
      <c r="I72" s="2"/>
      <c r="J72" s="2"/>
      <c r="K72" s="527"/>
      <c r="L72" s="2"/>
      <c r="M72" s="2"/>
      <c r="N72" s="2"/>
      <c r="O72" s="2"/>
      <c r="P72" s="2"/>
      <c r="Q72" s="2"/>
      <c r="R72" s="2"/>
      <c r="S72" s="2"/>
      <c r="T72" s="2"/>
      <c r="U72" s="2"/>
      <c r="V72" s="2"/>
    </row>
    <row r="73" spans="1:22" ht="11.25">
      <c r="A73" s="526"/>
      <c r="B73" s="2"/>
      <c r="C73" s="2"/>
      <c r="D73" s="2"/>
      <c r="E73" s="2"/>
      <c r="F73" s="2"/>
      <c r="G73" s="2"/>
      <c r="H73" s="2"/>
      <c r="I73" s="2"/>
      <c r="J73" s="2"/>
      <c r="K73" s="527"/>
      <c r="L73" s="2"/>
      <c r="M73" s="2"/>
      <c r="N73" s="2"/>
      <c r="O73" s="2"/>
      <c r="P73" s="2"/>
      <c r="Q73" s="2"/>
      <c r="R73" s="2"/>
      <c r="S73" s="2"/>
      <c r="T73" s="2"/>
      <c r="U73" s="2"/>
      <c r="V73" s="2"/>
    </row>
    <row r="74" spans="1:22" ht="11.25">
      <c r="A74" s="526"/>
      <c r="B74" s="2"/>
      <c r="C74" s="2"/>
      <c r="D74" s="2"/>
      <c r="E74" s="2"/>
      <c r="F74" s="2"/>
      <c r="G74" s="2"/>
      <c r="H74" s="2"/>
      <c r="I74" s="2"/>
      <c r="J74" s="2"/>
      <c r="K74" s="527"/>
      <c r="L74" s="2"/>
      <c r="M74" s="2"/>
      <c r="N74" s="2"/>
      <c r="O74" s="2"/>
      <c r="P74" s="2"/>
      <c r="Q74" s="2"/>
      <c r="R74" s="2"/>
      <c r="S74" s="2"/>
      <c r="T74" s="2"/>
      <c r="U74" s="2"/>
      <c r="V74" s="2"/>
    </row>
    <row r="75" spans="1:22" ht="11.25">
      <c r="A75" s="526"/>
      <c r="B75" s="2"/>
      <c r="C75" s="2"/>
      <c r="D75" s="2"/>
      <c r="E75" s="2"/>
      <c r="F75" s="2"/>
      <c r="G75" s="2"/>
      <c r="H75" s="2"/>
      <c r="I75" s="2"/>
      <c r="J75" s="2"/>
      <c r="K75" s="527"/>
      <c r="L75" s="2"/>
      <c r="M75" s="2"/>
      <c r="N75" s="2"/>
      <c r="O75" s="2"/>
      <c r="P75" s="2"/>
      <c r="Q75" s="2"/>
      <c r="R75" s="2"/>
      <c r="S75" s="2"/>
      <c r="T75" s="2"/>
      <c r="U75" s="2"/>
      <c r="V75" s="2"/>
    </row>
    <row r="76" spans="1:22" ht="11.25">
      <c r="A76" s="526"/>
      <c r="B76" s="2"/>
      <c r="C76" s="2"/>
      <c r="D76" s="2"/>
      <c r="E76" s="2"/>
      <c r="F76" s="2"/>
      <c r="G76" s="2"/>
      <c r="H76" s="2"/>
      <c r="I76" s="2"/>
      <c r="J76" s="2"/>
      <c r="K76" s="527"/>
      <c r="L76" s="2"/>
      <c r="M76" s="2"/>
      <c r="N76" s="2"/>
      <c r="O76" s="2"/>
      <c r="P76" s="2"/>
      <c r="Q76" s="2"/>
      <c r="R76" s="2"/>
      <c r="S76" s="2"/>
      <c r="T76" s="2"/>
      <c r="U76" s="2"/>
      <c r="V76" s="2"/>
    </row>
    <row r="77" spans="1:22" ht="11.25">
      <c r="A77" s="526"/>
      <c r="B77" s="2"/>
      <c r="C77" s="2"/>
      <c r="D77" s="2"/>
      <c r="E77" s="2"/>
      <c r="F77" s="2"/>
      <c r="G77" s="2"/>
      <c r="H77" s="2"/>
      <c r="I77" s="2"/>
      <c r="J77" s="2"/>
      <c r="K77" s="527"/>
      <c r="L77" s="2"/>
      <c r="M77" s="2"/>
      <c r="N77" s="2"/>
      <c r="O77" s="2"/>
      <c r="P77" s="2"/>
      <c r="Q77" s="2"/>
      <c r="R77" s="2"/>
      <c r="S77" s="2"/>
      <c r="T77" s="2"/>
      <c r="U77" s="2"/>
      <c r="V77" s="2"/>
    </row>
    <row r="78" spans="1:22" ht="11.25">
      <c r="A78" s="526"/>
      <c r="B78" s="2"/>
      <c r="C78" s="2"/>
      <c r="D78" s="2"/>
      <c r="E78" s="2"/>
      <c r="F78" s="2"/>
      <c r="G78" s="2"/>
      <c r="H78" s="2"/>
      <c r="I78" s="2"/>
      <c r="J78" s="2"/>
      <c r="K78" s="527"/>
      <c r="L78" s="2"/>
      <c r="M78" s="2"/>
      <c r="N78" s="2"/>
      <c r="O78" s="2"/>
      <c r="P78" s="2"/>
      <c r="Q78" s="2"/>
      <c r="R78" s="2"/>
      <c r="S78" s="2"/>
      <c r="T78" s="2"/>
      <c r="U78" s="2"/>
      <c r="V78" s="2"/>
    </row>
    <row r="79" spans="1:22" ht="11.25">
      <c r="A79" s="526"/>
      <c r="B79" s="2"/>
      <c r="C79" s="2"/>
      <c r="D79" s="2"/>
      <c r="E79" s="2"/>
      <c r="F79" s="2"/>
      <c r="G79" s="2"/>
      <c r="H79" s="2"/>
      <c r="I79" s="2"/>
      <c r="J79" s="2"/>
      <c r="K79" s="527"/>
      <c r="L79" s="2"/>
      <c r="M79" s="2"/>
      <c r="N79" s="2"/>
      <c r="O79" s="2"/>
      <c r="P79" s="2"/>
      <c r="Q79" s="2"/>
      <c r="R79" s="2"/>
      <c r="S79" s="2"/>
      <c r="T79" s="2"/>
      <c r="U79" s="2"/>
      <c r="V79" s="2"/>
    </row>
    <row r="80" spans="1:22" ht="11.25">
      <c r="A80" s="526"/>
      <c r="B80" s="2"/>
      <c r="C80" s="2"/>
      <c r="D80" s="2"/>
      <c r="E80" s="2"/>
      <c r="F80" s="2"/>
      <c r="G80" s="2"/>
      <c r="H80" s="2"/>
      <c r="I80" s="2"/>
      <c r="J80" s="2"/>
      <c r="K80" s="527"/>
      <c r="L80" s="2"/>
      <c r="M80" s="2"/>
      <c r="N80" s="2"/>
      <c r="O80" s="2"/>
      <c r="P80" s="2"/>
      <c r="Q80" s="2"/>
      <c r="R80" s="2"/>
      <c r="S80" s="2"/>
      <c r="T80" s="2"/>
      <c r="U80" s="2"/>
      <c r="V80" s="2"/>
    </row>
    <row r="81" spans="1:22" ht="11.25">
      <c r="A81" s="526"/>
      <c r="B81" s="2"/>
      <c r="C81" s="2"/>
      <c r="D81" s="2"/>
      <c r="E81" s="2"/>
      <c r="F81" s="2"/>
      <c r="G81" s="2"/>
      <c r="H81" s="2"/>
      <c r="I81" s="2"/>
      <c r="J81" s="2"/>
      <c r="K81" s="527"/>
      <c r="L81" s="2"/>
      <c r="M81" s="2"/>
      <c r="N81" s="2"/>
      <c r="O81" s="2"/>
      <c r="P81" s="2"/>
      <c r="Q81" s="2"/>
      <c r="R81" s="2"/>
      <c r="S81" s="2"/>
      <c r="T81" s="2"/>
      <c r="U81" s="2"/>
      <c r="V81" s="2"/>
    </row>
    <row r="82" spans="1:22" ht="11.25">
      <c r="A82" s="526"/>
      <c r="B82" s="2"/>
      <c r="C82" s="2"/>
      <c r="D82" s="2"/>
      <c r="E82" s="2"/>
      <c r="F82" s="2"/>
      <c r="G82" s="2"/>
      <c r="H82" s="2"/>
      <c r="I82" s="2"/>
      <c r="J82" s="2"/>
      <c r="K82" s="527"/>
      <c r="L82" s="2"/>
      <c r="M82" s="2"/>
      <c r="N82" s="2"/>
      <c r="O82" s="2"/>
      <c r="P82" s="2"/>
      <c r="Q82" s="2"/>
      <c r="R82" s="2"/>
      <c r="S82" s="2"/>
      <c r="T82" s="2"/>
      <c r="U82" s="2"/>
      <c r="V82" s="2"/>
    </row>
    <row r="83" spans="1:22" ht="11.25">
      <c r="A83" s="526"/>
      <c r="B83" s="2"/>
      <c r="C83" s="2"/>
      <c r="D83" s="2"/>
      <c r="E83" s="2"/>
      <c r="F83" s="2"/>
      <c r="G83" s="2"/>
      <c r="H83" s="2"/>
      <c r="I83" s="2"/>
      <c r="J83" s="2"/>
      <c r="K83" s="527"/>
      <c r="L83" s="2"/>
      <c r="M83" s="2"/>
      <c r="N83" s="2"/>
      <c r="O83" s="2"/>
      <c r="P83" s="2"/>
      <c r="Q83" s="2"/>
      <c r="R83" s="2"/>
      <c r="S83" s="2"/>
      <c r="T83" s="2"/>
      <c r="U83" s="2"/>
      <c r="V83" s="2"/>
    </row>
    <row r="84" spans="1:22" ht="11.25">
      <c r="A84" s="526"/>
      <c r="B84" s="2"/>
      <c r="C84" s="2"/>
      <c r="D84" s="2"/>
      <c r="E84" s="2"/>
      <c r="F84" s="2"/>
      <c r="G84" s="2"/>
      <c r="H84" s="2"/>
      <c r="I84" s="2"/>
      <c r="J84" s="2"/>
      <c r="K84" s="527"/>
      <c r="L84" s="2"/>
      <c r="M84" s="2"/>
      <c r="N84" s="2"/>
      <c r="O84" s="2"/>
      <c r="P84" s="2"/>
      <c r="Q84" s="2"/>
      <c r="R84" s="2"/>
      <c r="S84" s="2"/>
      <c r="T84" s="2"/>
      <c r="U84" s="2"/>
      <c r="V84" s="2"/>
    </row>
    <row r="85" spans="1:11" ht="11.25">
      <c r="A85" s="526"/>
      <c r="B85" s="2"/>
      <c r="C85" s="2"/>
      <c r="D85" s="2"/>
      <c r="E85" s="2"/>
      <c r="F85" s="2"/>
      <c r="G85" s="2"/>
      <c r="H85" s="2"/>
      <c r="I85" s="2"/>
      <c r="J85" s="2"/>
      <c r="K85" s="527"/>
    </row>
    <row r="86" spans="1:11" ht="11.25">
      <c r="A86" s="526"/>
      <c r="B86" s="2"/>
      <c r="C86" s="2"/>
      <c r="D86" s="2"/>
      <c r="E86" s="2"/>
      <c r="F86" s="2"/>
      <c r="G86" s="2"/>
      <c r="H86" s="2"/>
      <c r="I86" s="2"/>
      <c r="J86" s="2"/>
      <c r="K86" s="527"/>
    </row>
    <row r="87" spans="1:11" ht="12" thickBot="1">
      <c r="A87" s="528"/>
      <c r="B87" s="529"/>
      <c r="C87" s="529"/>
      <c r="D87" s="529"/>
      <c r="E87" s="529"/>
      <c r="F87" s="529"/>
      <c r="G87" s="529"/>
      <c r="H87" s="529"/>
      <c r="I87" s="529"/>
      <c r="J87" s="529"/>
      <c r="K87" s="530"/>
    </row>
    <row r="88" ht="12" thickTop="1"/>
  </sheetData>
  <sheetProtection/>
  <mergeCells count="62">
    <mergeCell ref="B10:D10"/>
    <mergeCell ref="E8:J8"/>
    <mergeCell ref="B28:B31"/>
    <mergeCell ref="C28:C31"/>
    <mergeCell ref="B32:J32"/>
    <mergeCell ref="A2:K2"/>
    <mergeCell ref="E6:J6"/>
    <mergeCell ref="E7:J7"/>
    <mergeCell ref="A13:K13"/>
    <mergeCell ref="A14:K14"/>
    <mergeCell ref="B11:D11"/>
    <mergeCell ref="E16:J16"/>
    <mergeCell ref="C23:C26"/>
    <mergeCell ref="B23:B26"/>
    <mergeCell ref="B22:J22"/>
    <mergeCell ref="E11:J11"/>
    <mergeCell ref="D23:G23"/>
    <mergeCell ref="D24:G24"/>
    <mergeCell ref="B27:J27"/>
    <mergeCell ref="D25:G25"/>
    <mergeCell ref="D26:G26"/>
    <mergeCell ref="B19:J19"/>
    <mergeCell ref="D20:G20"/>
    <mergeCell ref="B16:D16"/>
    <mergeCell ref="B20:B21"/>
    <mergeCell ref="C20:C21"/>
    <mergeCell ref="D18:G18"/>
    <mergeCell ref="A3:K3"/>
    <mergeCell ref="E5:J5"/>
    <mergeCell ref="D21:G21"/>
    <mergeCell ref="B5:D5"/>
    <mergeCell ref="B6:D6"/>
    <mergeCell ref="B7:D7"/>
    <mergeCell ref="B8:D8"/>
    <mergeCell ref="B9:D9"/>
    <mergeCell ref="E9:J9"/>
    <mergeCell ref="E10:J10"/>
    <mergeCell ref="A35:K35"/>
    <mergeCell ref="B48:G48"/>
    <mergeCell ref="D33:G33"/>
    <mergeCell ref="D28:G28"/>
    <mergeCell ref="D30:G30"/>
    <mergeCell ref="D31:G31"/>
    <mergeCell ref="D29:G29"/>
    <mergeCell ref="B55:G55"/>
    <mergeCell ref="B56:G56"/>
    <mergeCell ref="A42:K42"/>
    <mergeCell ref="A43:K43"/>
    <mergeCell ref="A38:K38"/>
    <mergeCell ref="A37:K37"/>
    <mergeCell ref="A46:K46"/>
    <mergeCell ref="A45:K45"/>
    <mergeCell ref="B57:G57"/>
    <mergeCell ref="B58:G58"/>
    <mergeCell ref="D63:F63"/>
    <mergeCell ref="D61:F61"/>
    <mergeCell ref="B49:G49"/>
    <mergeCell ref="B50:G50"/>
    <mergeCell ref="B51:G51"/>
    <mergeCell ref="B52:G52"/>
    <mergeCell ref="B53:G53"/>
    <mergeCell ref="B54:G54"/>
  </mergeCells>
  <hyperlinks>
    <hyperlink ref="A38" r:id="rId1" display="http://www.cleancookstoves.org/our-work/standards-and-testing/guidelines-and-standards/guidelines--standards-documents/interim-stove-performance.pdf"/>
    <hyperlink ref="A46:K46" r:id="rId2" display="http://www.cleancookstoves.org/our-work/standards-and-testing/learn-about-testing-protocols/"/>
  </hyperlinks>
  <printOptions/>
  <pageMargins left="0.25" right="0.25" top="0.75" bottom="0.75" header="0.3" footer="0.3"/>
  <pageSetup horizontalDpi="1200" verticalDpi="1200" orientation="portrait" r:id="rId4"/>
  <headerFooter>
    <oddFooter>&amp;L&amp;F&amp;C&amp;A&amp;RPage &amp;P</oddFooter>
  </headerFooter>
  <drawing r:id="rId3"/>
</worksheet>
</file>

<file path=xl/worksheets/sheet15.xml><?xml version="1.0" encoding="utf-8"?>
<worksheet xmlns="http://schemas.openxmlformats.org/spreadsheetml/2006/main" xmlns:r="http://schemas.openxmlformats.org/officeDocument/2006/relationships">
  <sheetPr codeName="Sheet5"/>
  <dimension ref="A1:U70"/>
  <sheetViews>
    <sheetView showGridLines="0" showZeros="0" zoomScaleSheetLayoutView="80" zoomScalePageLayoutView="0" workbookViewId="0" topLeftCell="A1">
      <selection activeCell="J74" sqref="J74"/>
    </sheetView>
  </sheetViews>
  <sheetFormatPr defaultColWidth="9.140625" defaultRowHeight="12.75"/>
  <cols>
    <col min="1" max="1" width="2.140625" style="0" customWidth="1"/>
    <col min="2" max="2" width="1.7109375" style="0" customWidth="1"/>
    <col min="3" max="3" width="8.28125" style="0" customWidth="1"/>
    <col min="4" max="4" width="8.00390625" style="0" customWidth="1"/>
    <col min="5" max="6" width="8.7109375" style="0" customWidth="1"/>
    <col min="7" max="9" width="1.7109375" style="0" customWidth="1"/>
    <col min="10" max="10" width="8.28125" style="0" customWidth="1"/>
    <col min="11" max="13" width="8.7109375" style="0" customWidth="1"/>
    <col min="14" max="14" width="1.7109375" style="0" customWidth="1"/>
    <col min="15" max="15" width="3.28125" style="0" customWidth="1"/>
    <col min="16" max="16" width="8.28125" style="0" customWidth="1"/>
    <col min="17" max="19" width="8.7109375" style="0" customWidth="1"/>
    <col min="20" max="20" width="1.7109375" style="0" customWidth="1"/>
    <col min="21" max="22" width="2.57421875" style="0" customWidth="1"/>
  </cols>
  <sheetData>
    <row r="1" spans="1:21" ht="6" customHeight="1" thickTop="1">
      <c r="A1" s="149"/>
      <c r="B1" s="149"/>
      <c r="C1" s="149"/>
      <c r="D1" s="149"/>
      <c r="E1" s="149"/>
      <c r="F1" s="149"/>
      <c r="G1" s="149"/>
      <c r="H1" s="149"/>
      <c r="I1" s="149"/>
      <c r="J1" s="149"/>
      <c r="K1" s="149"/>
      <c r="L1" s="149"/>
      <c r="M1" s="149"/>
      <c r="N1" s="149"/>
      <c r="O1" s="149"/>
      <c r="P1" s="149"/>
      <c r="Q1" s="149"/>
      <c r="R1" s="149"/>
      <c r="S1" s="149"/>
      <c r="T1" s="149"/>
      <c r="U1" s="150"/>
    </row>
    <row r="2" spans="1:21" ht="57" customHeight="1">
      <c r="A2" s="151"/>
      <c r="B2" s="766" t="s">
        <v>750</v>
      </c>
      <c r="C2" s="766"/>
      <c r="D2" s="766"/>
      <c r="E2" s="766"/>
      <c r="F2" s="766"/>
      <c r="G2" s="766"/>
      <c r="H2" s="766"/>
      <c r="I2" s="766"/>
      <c r="J2" s="766"/>
      <c r="K2" s="766"/>
      <c r="L2" s="766"/>
      <c r="M2" s="766"/>
      <c r="N2" s="766"/>
      <c r="O2" s="766"/>
      <c r="P2" s="766"/>
      <c r="Q2" s="766"/>
      <c r="R2" s="766"/>
      <c r="S2" s="766"/>
      <c r="T2" s="766"/>
      <c r="U2" s="153"/>
    </row>
    <row r="3" spans="1:21" ht="26.25" customHeight="1">
      <c r="A3" s="151"/>
      <c r="B3" s="766" t="s">
        <v>771</v>
      </c>
      <c r="C3" s="766"/>
      <c r="D3" s="766"/>
      <c r="E3" s="766"/>
      <c r="F3" s="766"/>
      <c r="G3" s="766"/>
      <c r="H3" s="766"/>
      <c r="I3" s="766"/>
      <c r="J3" s="766"/>
      <c r="K3" s="766"/>
      <c r="L3" s="766"/>
      <c r="M3" s="766"/>
      <c r="N3" s="766"/>
      <c r="O3" s="766"/>
      <c r="P3" s="766"/>
      <c r="Q3" s="766"/>
      <c r="R3" s="766"/>
      <c r="S3" s="766"/>
      <c r="T3" s="766"/>
      <c r="U3" s="153"/>
    </row>
    <row r="4" spans="1:21" ht="6" customHeight="1">
      <c r="A4" s="151"/>
      <c r="B4" s="71"/>
      <c r="C4" s="152"/>
      <c r="D4" s="152"/>
      <c r="E4" s="152"/>
      <c r="F4" s="152"/>
      <c r="G4" s="152"/>
      <c r="H4" s="152"/>
      <c r="I4" s="71"/>
      <c r="J4" s="152"/>
      <c r="K4" s="152"/>
      <c r="L4" s="152"/>
      <c r="M4" s="152"/>
      <c r="N4" s="152"/>
      <c r="O4" s="71"/>
      <c r="P4" s="152"/>
      <c r="Q4" s="152"/>
      <c r="R4" s="152"/>
      <c r="S4" s="152"/>
      <c r="T4" s="152"/>
      <c r="U4" s="154"/>
    </row>
    <row r="5" spans="1:21" ht="6" customHeight="1">
      <c r="A5" s="151"/>
      <c r="B5" s="588"/>
      <c r="C5" s="589"/>
      <c r="D5" s="589"/>
      <c r="E5" s="589"/>
      <c r="F5" s="589"/>
      <c r="G5" s="590"/>
      <c r="H5" s="71"/>
      <c r="I5" s="588"/>
      <c r="J5" s="589"/>
      <c r="K5" s="589"/>
      <c r="L5" s="589"/>
      <c r="M5" s="589"/>
      <c r="N5" s="590"/>
      <c r="U5" s="155"/>
    </row>
    <row r="6" spans="1:21" ht="12.75">
      <c r="A6" s="151"/>
      <c r="B6" s="156"/>
      <c r="C6" s="157" t="s">
        <v>202</v>
      </c>
      <c r="D6" s="763" t="s">
        <v>203</v>
      </c>
      <c r="E6" s="763"/>
      <c r="F6" s="763"/>
      <c r="G6" s="70"/>
      <c r="H6" s="71"/>
      <c r="I6" s="156"/>
      <c r="J6" s="157" t="s">
        <v>204</v>
      </c>
      <c r="K6" s="763" t="s">
        <v>203</v>
      </c>
      <c r="L6" s="763"/>
      <c r="M6" s="763"/>
      <c r="N6" s="70"/>
      <c r="P6" t="s">
        <v>755</v>
      </c>
      <c r="U6" s="155"/>
    </row>
    <row r="7" spans="1:21" ht="12.75">
      <c r="A7" s="151"/>
      <c r="B7" s="156"/>
      <c r="C7" s="157"/>
      <c r="D7" s="763" t="s">
        <v>205</v>
      </c>
      <c r="E7" s="763"/>
      <c r="F7" s="763"/>
      <c r="G7" s="70"/>
      <c r="H7" s="71"/>
      <c r="I7" s="156"/>
      <c r="J7" s="157"/>
      <c r="K7" s="763" t="s">
        <v>205</v>
      </c>
      <c r="L7" s="763"/>
      <c r="M7" s="763"/>
      <c r="N7" s="70"/>
      <c r="P7" s="767"/>
      <c r="Q7" s="767"/>
      <c r="R7" s="767"/>
      <c r="S7" s="767"/>
      <c r="U7" s="155"/>
    </row>
    <row r="8" spans="1:21" ht="15" customHeight="1">
      <c r="A8" s="151"/>
      <c r="B8" s="156"/>
      <c r="C8" s="71"/>
      <c r="D8" s="158">
        <v>1</v>
      </c>
      <c r="E8" s="158">
        <v>2</v>
      </c>
      <c r="F8" s="158">
        <v>3</v>
      </c>
      <c r="G8" s="70"/>
      <c r="H8" s="71"/>
      <c r="I8" s="156"/>
      <c r="J8" s="71"/>
      <c r="K8" s="158">
        <v>1</v>
      </c>
      <c r="L8" s="158">
        <v>2</v>
      </c>
      <c r="M8" s="158">
        <v>3</v>
      </c>
      <c r="N8" s="70"/>
      <c r="U8" s="155"/>
    </row>
    <row r="9" spans="1:21" ht="20.25" customHeight="1">
      <c r="A9" s="151"/>
      <c r="B9" s="156"/>
      <c r="C9" s="71" t="s">
        <v>206</v>
      </c>
      <c r="D9" s="159"/>
      <c r="E9" s="159"/>
      <c r="F9" s="160"/>
      <c r="G9" s="70"/>
      <c r="H9" s="71"/>
      <c r="I9" s="156"/>
      <c r="J9" s="71" t="s">
        <v>206</v>
      </c>
      <c r="K9" s="159"/>
      <c r="L9" s="159"/>
      <c r="M9" s="160"/>
      <c r="N9" s="70"/>
      <c r="U9" s="155"/>
    </row>
    <row r="10" spans="1:21" ht="20.25" customHeight="1">
      <c r="A10" s="151"/>
      <c r="B10" s="156"/>
      <c r="C10" s="71" t="s">
        <v>207</v>
      </c>
      <c r="D10" s="161"/>
      <c r="E10" s="161"/>
      <c r="F10" s="162"/>
      <c r="G10" s="70"/>
      <c r="H10" s="71"/>
      <c r="I10" s="156"/>
      <c r="J10" s="71" t="s">
        <v>207</v>
      </c>
      <c r="K10" s="161"/>
      <c r="L10" s="161"/>
      <c r="M10" s="162"/>
      <c r="N10" s="70"/>
      <c r="U10" s="155"/>
    </row>
    <row r="11" spans="1:21" ht="20.25" customHeight="1">
      <c r="A11" s="151"/>
      <c r="B11" s="156"/>
      <c r="C11" s="71" t="s">
        <v>208</v>
      </c>
      <c r="D11" s="161"/>
      <c r="E11" s="161"/>
      <c r="F11" s="162"/>
      <c r="G11" s="70"/>
      <c r="H11" s="71"/>
      <c r="I11" s="156"/>
      <c r="J11" s="71" t="s">
        <v>208</v>
      </c>
      <c r="K11" s="161"/>
      <c r="L11" s="161"/>
      <c r="M11" s="162"/>
      <c r="N11" s="70"/>
      <c r="U11" s="155"/>
    </row>
    <row r="12" spans="1:21" ht="6" customHeight="1">
      <c r="A12" s="151"/>
      <c r="B12" s="156"/>
      <c r="C12" s="71"/>
      <c r="D12" s="71"/>
      <c r="E12" s="71"/>
      <c r="F12" s="71"/>
      <c r="G12" s="70"/>
      <c r="H12" s="71"/>
      <c r="I12" s="156"/>
      <c r="J12" s="71"/>
      <c r="K12" s="71"/>
      <c r="L12" s="71"/>
      <c r="M12" s="71"/>
      <c r="N12" s="70"/>
      <c r="U12" s="155"/>
    </row>
    <row r="13" spans="1:21" ht="18" customHeight="1">
      <c r="A13" s="151"/>
      <c r="B13" s="156"/>
      <c r="C13" s="71" t="s">
        <v>209</v>
      </c>
      <c r="D13" s="71"/>
      <c r="E13" s="71"/>
      <c r="F13" s="71"/>
      <c r="G13" s="70"/>
      <c r="H13" s="71"/>
      <c r="I13" s="156"/>
      <c r="J13" s="71" t="s">
        <v>209</v>
      </c>
      <c r="K13" s="71"/>
      <c r="L13" s="71"/>
      <c r="M13" s="71"/>
      <c r="N13" s="70"/>
      <c r="U13" s="155"/>
    </row>
    <row r="14" spans="1:21" ht="18" customHeight="1">
      <c r="A14" s="151"/>
      <c r="B14" s="156"/>
      <c r="C14" s="163" t="s">
        <v>210</v>
      </c>
      <c r="D14" s="251">
        <f>IF(D9=0,0,AVERAGE(D9:F11))</f>
        <v>0</v>
      </c>
      <c r="E14" s="164" t="s">
        <v>211</v>
      </c>
      <c r="F14" s="251">
        <f>IF(D14=0,0,D14/(1+D14))</f>
        <v>0</v>
      </c>
      <c r="G14" s="70"/>
      <c r="H14" s="71"/>
      <c r="I14" s="156"/>
      <c r="J14" s="163" t="s">
        <v>210</v>
      </c>
      <c r="K14" s="251">
        <f>IF(K9=0,0,AVERAGE(K9:M11))</f>
        <v>0</v>
      </c>
      <c r="L14" s="164" t="s">
        <v>211</v>
      </c>
      <c r="M14" s="251">
        <f>IF(K14=0,0,K14/(1+K14))</f>
        <v>0</v>
      </c>
      <c r="N14" s="70"/>
      <c r="U14" s="155"/>
    </row>
    <row r="15" spans="1:21" ht="6.75" customHeight="1">
      <c r="A15" s="151"/>
      <c r="B15" s="165"/>
      <c r="C15" s="166"/>
      <c r="D15" s="166"/>
      <c r="E15" s="166"/>
      <c r="F15" s="167"/>
      <c r="G15" s="168"/>
      <c r="H15" s="71"/>
      <c r="I15" s="165"/>
      <c r="J15" s="166"/>
      <c r="K15" s="166"/>
      <c r="L15" s="166"/>
      <c r="M15" s="167"/>
      <c r="N15" s="168"/>
      <c r="U15" s="155"/>
    </row>
    <row r="16" spans="1:21" ht="6.75" customHeight="1">
      <c r="A16" s="151"/>
      <c r="B16" s="71"/>
      <c r="C16" s="71"/>
      <c r="D16" s="71"/>
      <c r="E16" s="71"/>
      <c r="F16" s="169"/>
      <c r="G16" s="71"/>
      <c r="H16" s="71"/>
      <c r="O16" s="71"/>
      <c r="P16" s="71"/>
      <c r="Q16" s="71"/>
      <c r="R16" s="71"/>
      <c r="S16" s="169"/>
      <c r="T16" s="71"/>
      <c r="U16" s="155"/>
    </row>
    <row r="17" spans="1:21" ht="6" customHeight="1">
      <c r="A17" s="151"/>
      <c r="B17" s="71"/>
      <c r="C17" s="71"/>
      <c r="D17" s="71"/>
      <c r="E17" s="71"/>
      <c r="F17" s="169"/>
      <c r="G17" s="71"/>
      <c r="H17" s="71"/>
      <c r="I17" s="71"/>
      <c r="J17" s="71"/>
      <c r="K17" s="71"/>
      <c r="L17" s="71"/>
      <c r="M17" s="71"/>
      <c r="N17" s="71"/>
      <c r="O17" s="71"/>
      <c r="P17" s="71"/>
      <c r="Q17" s="71"/>
      <c r="R17" s="71"/>
      <c r="S17" s="71"/>
      <c r="T17" s="71"/>
      <c r="U17" s="155"/>
    </row>
    <row r="18" spans="1:21" ht="6" customHeight="1">
      <c r="A18" s="151"/>
      <c r="B18" s="588"/>
      <c r="C18" s="589"/>
      <c r="D18" s="589"/>
      <c r="E18" s="589"/>
      <c r="F18" s="589"/>
      <c r="G18" s="590"/>
      <c r="H18" s="71"/>
      <c r="I18" s="588"/>
      <c r="J18" s="589"/>
      <c r="K18" s="589"/>
      <c r="L18" s="589"/>
      <c r="M18" s="589"/>
      <c r="N18" s="590"/>
      <c r="U18" s="155"/>
    </row>
    <row r="19" spans="1:21" ht="12.75">
      <c r="A19" s="151"/>
      <c r="B19" s="156"/>
      <c r="C19" s="157" t="s">
        <v>212</v>
      </c>
      <c r="D19" s="763" t="s">
        <v>203</v>
      </c>
      <c r="E19" s="763"/>
      <c r="F19" s="763"/>
      <c r="G19" s="70"/>
      <c r="H19" s="71"/>
      <c r="I19" s="156"/>
      <c r="J19" s="157" t="s">
        <v>1038</v>
      </c>
      <c r="K19" s="763" t="s">
        <v>203</v>
      </c>
      <c r="L19" s="763"/>
      <c r="M19" s="763"/>
      <c r="N19" s="70"/>
      <c r="U19" s="155"/>
    </row>
    <row r="20" spans="1:21" ht="12.75">
      <c r="A20" s="151"/>
      <c r="B20" s="156"/>
      <c r="C20" s="157"/>
      <c r="D20" s="763" t="s">
        <v>205</v>
      </c>
      <c r="E20" s="763"/>
      <c r="F20" s="763"/>
      <c r="G20" s="70"/>
      <c r="H20" s="71"/>
      <c r="I20" s="156"/>
      <c r="J20" s="157"/>
      <c r="K20" s="763" t="s">
        <v>205</v>
      </c>
      <c r="L20" s="763"/>
      <c r="M20" s="763"/>
      <c r="N20" s="70"/>
      <c r="U20" s="155"/>
    </row>
    <row r="21" spans="1:21" ht="15" customHeight="1">
      <c r="A21" s="151"/>
      <c r="B21" s="156"/>
      <c r="C21" s="71"/>
      <c r="D21" s="158">
        <v>1</v>
      </c>
      <c r="E21" s="158">
        <v>2</v>
      </c>
      <c r="F21" s="158">
        <v>3</v>
      </c>
      <c r="G21" s="70"/>
      <c r="H21" s="71"/>
      <c r="I21" s="156"/>
      <c r="J21" s="71"/>
      <c r="K21" s="158">
        <v>1</v>
      </c>
      <c r="L21" s="158">
        <v>2</v>
      </c>
      <c r="M21" s="158">
        <v>3</v>
      </c>
      <c r="N21" s="70"/>
      <c r="U21" s="155"/>
    </row>
    <row r="22" spans="1:21" ht="20.25" customHeight="1">
      <c r="A22" s="151"/>
      <c r="B22" s="156"/>
      <c r="C22" s="71" t="s">
        <v>206</v>
      </c>
      <c r="D22" s="159"/>
      <c r="E22" s="159"/>
      <c r="F22" s="160"/>
      <c r="G22" s="70"/>
      <c r="H22" s="71"/>
      <c r="I22" s="156"/>
      <c r="J22" s="71" t="s">
        <v>206</v>
      </c>
      <c r="K22" s="159"/>
      <c r="L22" s="159"/>
      <c r="M22" s="160"/>
      <c r="N22" s="70"/>
      <c r="U22" s="155"/>
    </row>
    <row r="23" spans="1:21" ht="20.25" customHeight="1">
      <c r="A23" s="151"/>
      <c r="B23" s="156"/>
      <c r="C23" s="71" t="s">
        <v>207</v>
      </c>
      <c r="D23" s="161"/>
      <c r="E23" s="161"/>
      <c r="F23" s="162"/>
      <c r="G23" s="70"/>
      <c r="H23" s="71"/>
      <c r="I23" s="156"/>
      <c r="J23" s="71" t="s">
        <v>207</v>
      </c>
      <c r="K23" s="161"/>
      <c r="L23" s="161"/>
      <c r="M23" s="162"/>
      <c r="N23" s="70"/>
      <c r="U23" s="155"/>
    </row>
    <row r="24" spans="1:21" ht="20.25" customHeight="1">
      <c r="A24" s="151"/>
      <c r="B24" s="156"/>
      <c r="C24" s="71" t="s">
        <v>208</v>
      </c>
      <c r="D24" s="161"/>
      <c r="E24" s="161"/>
      <c r="F24" s="162"/>
      <c r="G24" s="70"/>
      <c r="H24" s="71"/>
      <c r="I24" s="156"/>
      <c r="J24" s="71" t="s">
        <v>208</v>
      </c>
      <c r="K24" s="161"/>
      <c r="L24" s="161"/>
      <c r="M24" s="162"/>
      <c r="N24" s="70"/>
      <c r="U24" s="155"/>
    </row>
    <row r="25" spans="1:21" ht="6" customHeight="1">
      <c r="A25" s="151"/>
      <c r="B25" s="156"/>
      <c r="C25" s="71"/>
      <c r="D25" s="71"/>
      <c r="E25" s="71"/>
      <c r="F25" s="71"/>
      <c r="G25" s="70"/>
      <c r="H25" s="71"/>
      <c r="I25" s="156"/>
      <c r="J25" s="71"/>
      <c r="K25" s="71"/>
      <c r="L25" s="71"/>
      <c r="M25" s="71"/>
      <c r="N25" s="70"/>
      <c r="U25" s="155"/>
    </row>
    <row r="26" spans="1:21" ht="18" customHeight="1">
      <c r="A26" s="151"/>
      <c r="B26" s="156"/>
      <c r="C26" s="71" t="s">
        <v>209</v>
      </c>
      <c r="D26" s="71"/>
      <c r="E26" s="71"/>
      <c r="F26" s="71"/>
      <c r="G26" s="70"/>
      <c r="H26" s="71"/>
      <c r="I26" s="156"/>
      <c r="J26" s="71" t="s">
        <v>209</v>
      </c>
      <c r="K26" s="71"/>
      <c r="L26" s="71"/>
      <c r="M26" s="71"/>
      <c r="N26" s="70"/>
      <c r="U26" s="155"/>
    </row>
    <row r="27" spans="1:21" ht="18" customHeight="1">
      <c r="A27" s="151"/>
      <c r="B27" s="156"/>
      <c r="C27" s="163" t="s">
        <v>210</v>
      </c>
      <c r="D27" s="251">
        <f>IF(D22=0,0,AVERAGE(D22:F24))</f>
        <v>0</v>
      </c>
      <c r="E27" s="164" t="s">
        <v>211</v>
      </c>
      <c r="F27" s="251">
        <f>IF(D27=0,0,D27/(1+D27))</f>
        <v>0</v>
      </c>
      <c r="G27" s="70"/>
      <c r="H27" s="71"/>
      <c r="I27" s="156"/>
      <c r="J27" s="163" t="s">
        <v>210</v>
      </c>
      <c r="K27" s="251">
        <f>IF(K22=0,0,AVERAGE(K22:M24))</f>
        <v>0</v>
      </c>
      <c r="L27" s="164" t="s">
        <v>211</v>
      </c>
      <c r="M27" s="251">
        <f>IF(K27=0,0,K27/(1+K27))</f>
        <v>0</v>
      </c>
      <c r="N27" s="70"/>
      <c r="U27" s="155"/>
    </row>
    <row r="28" spans="1:21" ht="6.75" customHeight="1">
      <c r="A28" s="151"/>
      <c r="B28" s="165"/>
      <c r="C28" s="166"/>
      <c r="D28" s="166"/>
      <c r="E28" s="166"/>
      <c r="F28" s="167"/>
      <c r="G28" s="168"/>
      <c r="H28" s="71"/>
      <c r="I28" s="165"/>
      <c r="J28" s="166"/>
      <c r="K28" s="166"/>
      <c r="L28" s="166"/>
      <c r="M28" s="167"/>
      <c r="N28" s="168"/>
      <c r="U28" s="155"/>
    </row>
    <row r="29" spans="1:21" ht="6" customHeight="1">
      <c r="A29" s="151"/>
      <c r="B29" s="71"/>
      <c r="C29" s="71"/>
      <c r="D29" s="71"/>
      <c r="E29" s="71"/>
      <c r="F29" s="71"/>
      <c r="G29" s="71"/>
      <c r="H29" s="71"/>
      <c r="I29" s="71"/>
      <c r="J29" s="71"/>
      <c r="K29" s="71"/>
      <c r="L29" s="71"/>
      <c r="M29" s="71"/>
      <c r="N29" s="71"/>
      <c r="O29" s="71"/>
      <c r="P29" s="71"/>
      <c r="Q29" s="71"/>
      <c r="R29" s="71"/>
      <c r="S29" s="71"/>
      <c r="T29" s="71"/>
      <c r="U29" s="155"/>
    </row>
    <row r="30" spans="1:21" ht="6" customHeight="1">
      <c r="A30" s="151"/>
      <c r="B30" s="71"/>
      <c r="C30" s="152"/>
      <c r="D30" s="152"/>
      <c r="E30" s="152"/>
      <c r="F30" s="152"/>
      <c r="G30" s="152"/>
      <c r="H30" s="152"/>
      <c r="I30" s="71"/>
      <c r="J30" s="152"/>
      <c r="K30" s="152"/>
      <c r="L30" s="152"/>
      <c r="M30" s="152"/>
      <c r="N30" s="152"/>
      <c r="O30" s="71"/>
      <c r="P30" s="152"/>
      <c r="Q30" s="152"/>
      <c r="R30" s="152"/>
      <c r="S30" s="152"/>
      <c r="T30" s="152"/>
      <c r="U30" s="154"/>
    </row>
    <row r="31" spans="1:21" ht="6" customHeight="1">
      <c r="A31" s="151"/>
      <c r="B31" s="588"/>
      <c r="C31" s="589"/>
      <c r="D31" s="589"/>
      <c r="E31" s="589"/>
      <c r="F31" s="589"/>
      <c r="G31" s="590"/>
      <c r="H31" s="71"/>
      <c r="I31" s="588"/>
      <c r="J31" s="589"/>
      <c r="K31" s="589"/>
      <c r="L31" s="589"/>
      <c r="M31" s="589"/>
      <c r="N31" s="590"/>
      <c r="U31" s="155"/>
    </row>
    <row r="32" spans="1:21" ht="12.75">
      <c r="A32" s="151"/>
      <c r="B32" s="156"/>
      <c r="C32" s="157" t="s">
        <v>1039</v>
      </c>
      <c r="D32" s="763" t="s">
        <v>203</v>
      </c>
      <c r="E32" s="763"/>
      <c r="F32" s="763"/>
      <c r="G32" s="70"/>
      <c r="H32" s="71"/>
      <c r="I32" s="156"/>
      <c r="J32" s="157" t="s">
        <v>1040</v>
      </c>
      <c r="K32" s="763" t="s">
        <v>203</v>
      </c>
      <c r="L32" s="763"/>
      <c r="M32" s="763"/>
      <c r="N32" s="70"/>
      <c r="U32" s="155"/>
    </row>
    <row r="33" spans="1:21" ht="12.75">
      <c r="A33" s="151"/>
      <c r="B33" s="156"/>
      <c r="C33" s="157"/>
      <c r="D33" s="763" t="s">
        <v>205</v>
      </c>
      <c r="E33" s="763"/>
      <c r="F33" s="763"/>
      <c r="G33" s="70"/>
      <c r="H33" s="71"/>
      <c r="I33" s="156"/>
      <c r="J33" s="157"/>
      <c r="K33" s="763" t="s">
        <v>205</v>
      </c>
      <c r="L33" s="763"/>
      <c r="M33" s="763"/>
      <c r="N33" s="70"/>
      <c r="U33" s="155"/>
    </row>
    <row r="34" spans="1:21" ht="15" customHeight="1">
      <c r="A34" s="151"/>
      <c r="B34" s="156"/>
      <c r="C34" s="71"/>
      <c r="D34" s="158">
        <v>1</v>
      </c>
      <c r="E34" s="158">
        <v>2</v>
      </c>
      <c r="F34" s="158">
        <v>3</v>
      </c>
      <c r="G34" s="70"/>
      <c r="H34" s="71"/>
      <c r="I34" s="156"/>
      <c r="J34" s="71"/>
      <c r="K34" s="158">
        <v>1</v>
      </c>
      <c r="L34" s="158">
        <v>2</v>
      </c>
      <c r="M34" s="158">
        <v>3</v>
      </c>
      <c r="N34" s="70"/>
      <c r="U34" s="155"/>
    </row>
    <row r="35" spans="1:21" ht="20.25" customHeight="1">
      <c r="A35" s="151"/>
      <c r="B35" s="156"/>
      <c r="C35" s="71" t="s">
        <v>206</v>
      </c>
      <c r="D35" s="159"/>
      <c r="E35" s="159"/>
      <c r="F35" s="160"/>
      <c r="G35" s="70"/>
      <c r="H35" s="71"/>
      <c r="I35" s="156"/>
      <c r="J35" s="71" t="s">
        <v>206</v>
      </c>
      <c r="K35" s="159"/>
      <c r="L35" s="159"/>
      <c r="M35" s="160"/>
      <c r="N35" s="70"/>
      <c r="U35" s="155"/>
    </row>
    <row r="36" spans="1:21" ht="20.25" customHeight="1">
      <c r="A36" s="151"/>
      <c r="B36" s="156"/>
      <c r="C36" s="71" t="s">
        <v>207</v>
      </c>
      <c r="D36" s="161"/>
      <c r="E36" s="161"/>
      <c r="F36" s="162"/>
      <c r="G36" s="70"/>
      <c r="H36" s="71"/>
      <c r="I36" s="156"/>
      <c r="J36" s="71" t="s">
        <v>207</v>
      </c>
      <c r="K36" s="161"/>
      <c r="L36" s="161"/>
      <c r="M36" s="162"/>
      <c r="N36" s="70"/>
      <c r="U36" s="155"/>
    </row>
    <row r="37" spans="1:21" ht="20.25" customHeight="1">
      <c r="A37" s="151"/>
      <c r="B37" s="156"/>
      <c r="C37" s="71" t="s">
        <v>208</v>
      </c>
      <c r="D37" s="161"/>
      <c r="E37" s="161"/>
      <c r="F37" s="162"/>
      <c r="G37" s="70"/>
      <c r="H37" s="71"/>
      <c r="I37" s="156"/>
      <c r="J37" s="71" t="s">
        <v>208</v>
      </c>
      <c r="K37" s="161"/>
      <c r="L37" s="161"/>
      <c r="M37" s="162"/>
      <c r="N37" s="70"/>
      <c r="U37" s="155"/>
    </row>
    <row r="38" spans="1:21" ht="6" customHeight="1">
      <c r="A38" s="151"/>
      <c r="B38" s="156"/>
      <c r="C38" s="71"/>
      <c r="D38" s="71"/>
      <c r="E38" s="71"/>
      <c r="F38" s="71"/>
      <c r="G38" s="70"/>
      <c r="H38" s="71"/>
      <c r="I38" s="156"/>
      <c r="J38" s="71"/>
      <c r="K38" s="71"/>
      <c r="L38" s="71"/>
      <c r="M38" s="71"/>
      <c r="N38" s="70"/>
      <c r="U38" s="155"/>
    </row>
    <row r="39" spans="1:21" ht="18" customHeight="1">
      <c r="A39" s="151"/>
      <c r="B39" s="156"/>
      <c r="C39" s="71" t="s">
        <v>209</v>
      </c>
      <c r="D39" s="71"/>
      <c r="E39" s="71"/>
      <c r="F39" s="71"/>
      <c r="G39" s="70"/>
      <c r="H39" s="71"/>
      <c r="I39" s="156"/>
      <c r="J39" s="71" t="s">
        <v>209</v>
      </c>
      <c r="K39" s="71"/>
      <c r="L39" s="71"/>
      <c r="M39" s="71"/>
      <c r="N39" s="70"/>
      <c r="U39" s="155"/>
    </row>
    <row r="40" spans="1:21" ht="18" customHeight="1">
      <c r="A40" s="151"/>
      <c r="B40" s="156"/>
      <c r="C40" s="163" t="s">
        <v>210</v>
      </c>
      <c r="D40" s="251">
        <f>IF(D35=0,0,AVERAGE(D35:F37))</f>
        <v>0</v>
      </c>
      <c r="E40" s="164" t="s">
        <v>211</v>
      </c>
      <c r="F40" s="251">
        <f>IF(D40=0,0,D40/(1+D40))</f>
        <v>0</v>
      </c>
      <c r="G40" s="70"/>
      <c r="H40" s="71"/>
      <c r="I40" s="156"/>
      <c r="J40" s="163" t="s">
        <v>210</v>
      </c>
      <c r="K40" s="251">
        <f>IF(K35=0,0,AVERAGE(K35:M37))</f>
        <v>0</v>
      </c>
      <c r="L40" s="164" t="s">
        <v>211</v>
      </c>
      <c r="M40" s="251">
        <f>IF(K40=0,0,K40/(1+K40))</f>
        <v>0</v>
      </c>
      <c r="N40" s="70"/>
      <c r="U40" s="155"/>
    </row>
    <row r="41" spans="1:21" ht="6.75" customHeight="1">
      <c r="A41" s="151"/>
      <c r="B41" s="165"/>
      <c r="C41" s="166"/>
      <c r="D41" s="166"/>
      <c r="E41" s="166"/>
      <c r="F41" s="167"/>
      <c r="G41" s="168"/>
      <c r="H41" s="71"/>
      <c r="I41" s="165"/>
      <c r="J41" s="166"/>
      <c r="K41" s="166"/>
      <c r="L41" s="166"/>
      <c r="M41" s="167"/>
      <c r="N41" s="168"/>
      <c r="U41" s="155"/>
    </row>
    <row r="42" spans="1:21" ht="6.75" customHeight="1">
      <c r="A42" s="151"/>
      <c r="B42" s="71"/>
      <c r="C42" s="71"/>
      <c r="D42" s="71"/>
      <c r="E42" s="71"/>
      <c r="F42" s="169"/>
      <c r="G42" s="71"/>
      <c r="H42" s="71"/>
      <c r="O42" s="71"/>
      <c r="P42" s="71"/>
      <c r="Q42" s="71"/>
      <c r="R42" s="71"/>
      <c r="S42" s="169"/>
      <c r="T42" s="71"/>
      <c r="U42" s="155"/>
    </row>
    <row r="43" spans="1:21" ht="6" customHeight="1">
      <c r="A43" s="151"/>
      <c r="B43" s="71"/>
      <c r="C43" s="152"/>
      <c r="D43" s="152"/>
      <c r="E43" s="152"/>
      <c r="F43" s="152"/>
      <c r="G43" s="152"/>
      <c r="H43" s="152"/>
      <c r="I43" s="71"/>
      <c r="J43" s="152"/>
      <c r="K43" s="152"/>
      <c r="L43" s="152"/>
      <c r="M43" s="152"/>
      <c r="N43" s="152"/>
      <c r="O43" s="71"/>
      <c r="P43" s="152"/>
      <c r="Q43" s="152"/>
      <c r="R43" s="152"/>
      <c r="S43" s="152"/>
      <c r="T43" s="152"/>
      <c r="U43" s="154"/>
    </row>
    <row r="44" spans="1:21" ht="6" customHeight="1">
      <c r="A44" s="151"/>
      <c r="B44" s="588"/>
      <c r="C44" s="589"/>
      <c r="D44" s="589"/>
      <c r="E44" s="589"/>
      <c r="F44" s="589"/>
      <c r="G44" s="590"/>
      <c r="H44" s="71"/>
      <c r="I44" s="588"/>
      <c r="J44" s="589"/>
      <c r="K44" s="589"/>
      <c r="L44" s="589"/>
      <c r="M44" s="589"/>
      <c r="N44" s="590"/>
      <c r="U44" s="155"/>
    </row>
    <row r="45" spans="1:21" ht="12.75">
      <c r="A45" s="151"/>
      <c r="B45" s="156"/>
      <c r="C45" s="157" t="s">
        <v>1041</v>
      </c>
      <c r="D45" s="763" t="s">
        <v>203</v>
      </c>
      <c r="E45" s="763"/>
      <c r="F45" s="763"/>
      <c r="G45" s="70"/>
      <c r="H45" s="71"/>
      <c r="I45" s="156"/>
      <c r="J45" s="157" t="s">
        <v>1042</v>
      </c>
      <c r="K45" s="763" t="s">
        <v>203</v>
      </c>
      <c r="L45" s="763"/>
      <c r="M45" s="763"/>
      <c r="N45" s="70"/>
      <c r="U45" s="155"/>
    </row>
    <row r="46" spans="1:21" ht="12.75">
      <c r="A46" s="151"/>
      <c r="B46" s="156"/>
      <c r="C46" s="157"/>
      <c r="D46" s="763" t="s">
        <v>205</v>
      </c>
      <c r="E46" s="763"/>
      <c r="F46" s="763"/>
      <c r="G46" s="70"/>
      <c r="H46" s="71"/>
      <c r="I46" s="156"/>
      <c r="J46" s="157"/>
      <c r="K46" s="763" t="s">
        <v>205</v>
      </c>
      <c r="L46" s="763"/>
      <c r="M46" s="763"/>
      <c r="N46" s="70"/>
      <c r="U46" s="155"/>
    </row>
    <row r="47" spans="1:21" ht="15" customHeight="1">
      <c r="A47" s="151"/>
      <c r="B47" s="156"/>
      <c r="C47" s="71"/>
      <c r="D47" s="158">
        <v>1</v>
      </c>
      <c r="E47" s="158">
        <v>2</v>
      </c>
      <c r="F47" s="158">
        <v>3</v>
      </c>
      <c r="G47" s="70"/>
      <c r="H47" s="71"/>
      <c r="I47" s="156"/>
      <c r="J47" s="71"/>
      <c r="K47" s="158">
        <v>1</v>
      </c>
      <c r="L47" s="158">
        <v>2</v>
      </c>
      <c r="M47" s="158">
        <v>3</v>
      </c>
      <c r="N47" s="70"/>
      <c r="U47" s="155"/>
    </row>
    <row r="48" spans="1:21" ht="20.25" customHeight="1">
      <c r="A48" s="151"/>
      <c r="B48" s="156"/>
      <c r="C48" s="71" t="s">
        <v>206</v>
      </c>
      <c r="D48" s="159"/>
      <c r="E48" s="159"/>
      <c r="F48" s="160"/>
      <c r="G48" s="70"/>
      <c r="H48" s="71"/>
      <c r="I48" s="156"/>
      <c r="J48" s="71" t="s">
        <v>206</v>
      </c>
      <c r="K48" s="159"/>
      <c r="L48" s="159"/>
      <c r="M48" s="160"/>
      <c r="N48" s="70"/>
      <c r="U48" s="155"/>
    </row>
    <row r="49" spans="1:21" ht="20.25" customHeight="1">
      <c r="A49" s="151"/>
      <c r="B49" s="156"/>
      <c r="C49" s="71" t="s">
        <v>207</v>
      </c>
      <c r="D49" s="161"/>
      <c r="E49" s="161"/>
      <c r="F49" s="162"/>
      <c r="G49" s="70"/>
      <c r="H49" s="71"/>
      <c r="I49" s="156"/>
      <c r="J49" s="71" t="s">
        <v>207</v>
      </c>
      <c r="K49" s="161"/>
      <c r="L49" s="161"/>
      <c r="M49" s="162"/>
      <c r="N49" s="70"/>
      <c r="U49" s="155"/>
    </row>
    <row r="50" spans="1:21" ht="20.25" customHeight="1">
      <c r="A50" s="151"/>
      <c r="B50" s="156"/>
      <c r="C50" s="71" t="s">
        <v>208</v>
      </c>
      <c r="D50" s="161"/>
      <c r="E50" s="161"/>
      <c r="F50" s="162"/>
      <c r="G50" s="70"/>
      <c r="H50" s="71"/>
      <c r="I50" s="156"/>
      <c r="J50" s="71" t="s">
        <v>208</v>
      </c>
      <c r="K50" s="161"/>
      <c r="L50" s="161"/>
      <c r="M50" s="162"/>
      <c r="N50" s="70"/>
      <c r="U50" s="155"/>
    </row>
    <row r="51" spans="1:21" ht="6" customHeight="1">
      <c r="A51" s="151"/>
      <c r="B51" s="156"/>
      <c r="C51" s="71"/>
      <c r="D51" s="71"/>
      <c r="E51" s="71"/>
      <c r="F51" s="71"/>
      <c r="G51" s="70"/>
      <c r="H51" s="71"/>
      <c r="I51" s="156"/>
      <c r="J51" s="71"/>
      <c r="K51" s="71"/>
      <c r="L51" s="71"/>
      <c r="M51" s="71"/>
      <c r="N51" s="70"/>
      <c r="U51" s="155"/>
    </row>
    <row r="52" spans="1:21" ht="18" customHeight="1">
      <c r="A52" s="151"/>
      <c r="B52" s="156"/>
      <c r="C52" s="71" t="s">
        <v>209</v>
      </c>
      <c r="D52" s="71"/>
      <c r="E52" s="71"/>
      <c r="F52" s="71"/>
      <c r="G52" s="70"/>
      <c r="H52" s="71"/>
      <c r="I52" s="156"/>
      <c r="J52" s="71" t="s">
        <v>209</v>
      </c>
      <c r="K52" s="71"/>
      <c r="L52" s="71"/>
      <c r="M52" s="71"/>
      <c r="N52" s="70"/>
      <c r="U52" s="155"/>
    </row>
    <row r="53" spans="1:21" ht="18" customHeight="1">
      <c r="A53" s="151"/>
      <c r="B53" s="156"/>
      <c r="C53" s="163" t="s">
        <v>210</v>
      </c>
      <c r="D53" s="251">
        <f>IF(D48=0,0,AVERAGE(D48:F50))</f>
        <v>0</v>
      </c>
      <c r="E53" s="164" t="s">
        <v>211</v>
      </c>
      <c r="F53" s="251">
        <f>IF(D53=0,0,D53/(1+D53))</f>
        <v>0</v>
      </c>
      <c r="G53" s="70"/>
      <c r="H53" s="71"/>
      <c r="I53" s="156"/>
      <c r="J53" s="163" t="s">
        <v>210</v>
      </c>
      <c r="K53" s="251">
        <f>IF(K48=0,0,AVERAGE(K48:M50))</f>
        <v>0</v>
      </c>
      <c r="L53" s="164" t="s">
        <v>211</v>
      </c>
      <c r="M53" s="251">
        <f>IF(K53=0,0,K53/(1+K53))</f>
        <v>0</v>
      </c>
      <c r="N53" s="70"/>
      <c r="U53" s="155"/>
    </row>
    <row r="54" spans="1:21" ht="6.75" customHeight="1">
      <c r="A54" s="151"/>
      <c r="B54" s="165"/>
      <c r="C54" s="166"/>
      <c r="D54" s="166"/>
      <c r="E54" s="166"/>
      <c r="F54" s="167"/>
      <c r="G54" s="168"/>
      <c r="H54" s="71"/>
      <c r="I54" s="165"/>
      <c r="J54" s="166"/>
      <c r="K54" s="166"/>
      <c r="L54" s="166"/>
      <c r="M54" s="167"/>
      <c r="N54" s="168"/>
      <c r="U54" s="155"/>
    </row>
    <row r="55" spans="1:21" ht="6.75" customHeight="1">
      <c r="A55" s="151"/>
      <c r="B55" s="71"/>
      <c r="C55" s="71"/>
      <c r="D55" s="71"/>
      <c r="E55" s="71"/>
      <c r="F55" s="169"/>
      <c r="G55" s="71"/>
      <c r="H55" s="71"/>
      <c r="O55" s="71"/>
      <c r="P55" s="71"/>
      <c r="Q55" s="71"/>
      <c r="R55" s="71"/>
      <c r="S55" s="169"/>
      <c r="T55" s="71"/>
      <c r="U55" s="155"/>
    </row>
    <row r="56" spans="1:21" ht="6" customHeight="1">
      <c r="A56" s="151"/>
      <c r="B56" s="71"/>
      <c r="C56" s="152"/>
      <c r="D56" s="152"/>
      <c r="E56" s="152"/>
      <c r="F56" s="152"/>
      <c r="G56" s="152"/>
      <c r="H56" s="152"/>
      <c r="I56" s="71"/>
      <c r="J56" s="152"/>
      <c r="K56" s="152"/>
      <c r="L56" s="152"/>
      <c r="M56" s="152"/>
      <c r="N56" s="152"/>
      <c r="O56" s="71"/>
      <c r="P56" s="152"/>
      <c r="Q56" s="152"/>
      <c r="R56" s="152"/>
      <c r="S56" s="152"/>
      <c r="T56" s="152"/>
      <c r="U56" s="154"/>
    </row>
    <row r="57" spans="1:21" ht="6" customHeight="1">
      <c r="A57" s="151"/>
      <c r="B57" s="588"/>
      <c r="C57" s="589"/>
      <c r="D57" s="589"/>
      <c r="E57" s="589"/>
      <c r="F57" s="589"/>
      <c r="G57" s="590"/>
      <c r="H57" s="71"/>
      <c r="I57" s="588"/>
      <c r="J57" s="589"/>
      <c r="K57" s="589"/>
      <c r="L57" s="589"/>
      <c r="M57" s="589"/>
      <c r="N57" s="590"/>
      <c r="U57" s="155"/>
    </row>
    <row r="58" spans="1:21" ht="12.75">
      <c r="A58" s="151"/>
      <c r="B58" s="156"/>
      <c r="C58" s="157" t="s">
        <v>1043</v>
      </c>
      <c r="D58" s="763" t="s">
        <v>203</v>
      </c>
      <c r="E58" s="763"/>
      <c r="F58" s="763"/>
      <c r="G58" s="70"/>
      <c r="H58" s="71"/>
      <c r="I58" s="156"/>
      <c r="J58" s="157" t="s">
        <v>1044</v>
      </c>
      <c r="K58" s="763" t="s">
        <v>203</v>
      </c>
      <c r="L58" s="763"/>
      <c r="M58" s="763"/>
      <c r="N58" s="70"/>
      <c r="U58" s="155"/>
    </row>
    <row r="59" spans="1:21" ht="12.75">
      <c r="A59" s="151"/>
      <c r="B59" s="156"/>
      <c r="C59" s="157"/>
      <c r="D59" s="763" t="s">
        <v>205</v>
      </c>
      <c r="E59" s="763"/>
      <c r="F59" s="763"/>
      <c r="G59" s="70"/>
      <c r="H59" s="71"/>
      <c r="I59" s="156"/>
      <c r="J59" s="157"/>
      <c r="K59" s="763" t="s">
        <v>205</v>
      </c>
      <c r="L59" s="763"/>
      <c r="M59" s="763"/>
      <c r="N59" s="70"/>
      <c r="U59" s="155"/>
    </row>
    <row r="60" spans="1:21" ht="15" customHeight="1">
      <c r="A60" s="151"/>
      <c r="B60" s="156"/>
      <c r="C60" s="71"/>
      <c r="D60" s="158">
        <v>1</v>
      </c>
      <c r="E60" s="158">
        <v>2</v>
      </c>
      <c r="F60" s="158">
        <v>3</v>
      </c>
      <c r="G60" s="70"/>
      <c r="H60" s="71"/>
      <c r="I60" s="156"/>
      <c r="J60" s="71"/>
      <c r="K60" s="158">
        <v>1</v>
      </c>
      <c r="L60" s="158">
        <v>2</v>
      </c>
      <c r="M60" s="158">
        <v>3</v>
      </c>
      <c r="N60" s="70"/>
      <c r="U60" s="155"/>
    </row>
    <row r="61" spans="1:21" ht="20.25" customHeight="1">
      <c r="A61" s="151"/>
      <c r="B61" s="156"/>
      <c r="C61" s="71" t="s">
        <v>206</v>
      </c>
      <c r="D61" s="159"/>
      <c r="E61" s="159"/>
      <c r="F61" s="160"/>
      <c r="G61" s="70"/>
      <c r="H61" s="71"/>
      <c r="I61" s="156"/>
      <c r="J61" s="71" t="s">
        <v>206</v>
      </c>
      <c r="K61" s="159"/>
      <c r="L61" s="159"/>
      <c r="M61" s="160"/>
      <c r="N61" s="70"/>
      <c r="U61" s="155"/>
    </row>
    <row r="62" spans="1:21" ht="20.25" customHeight="1">
      <c r="A62" s="151"/>
      <c r="B62" s="156"/>
      <c r="C62" s="71" t="s">
        <v>207</v>
      </c>
      <c r="D62" s="161"/>
      <c r="E62" s="161"/>
      <c r="F62" s="162"/>
      <c r="G62" s="70"/>
      <c r="H62" s="71"/>
      <c r="I62" s="156"/>
      <c r="J62" s="71" t="s">
        <v>207</v>
      </c>
      <c r="K62" s="161"/>
      <c r="L62" s="161"/>
      <c r="M62" s="162"/>
      <c r="N62" s="70"/>
      <c r="U62" s="155"/>
    </row>
    <row r="63" spans="1:21" ht="20.25" customHeight="1">
      <c r="A63" s="151"/>
      <c r="B63" s="156"/>
      <c r="C63" s="71" t="s">
        <v>208</v>
      </c>
      <c r="D63" s="161"/>
      <c r="E63" s="161"/>
      <c r="F63" s="162"/>
      <c r="G63" s="70"/>
      <c r="H63" s="71"/>
      <c r="I63" s="156"/>
      <c r="J63" s="71" t="s">
        <v>208</v>
      </c>
      <c r="K63" s="161"/>
      <c r="L63" s="161"/>
      <c r="M63" s="162"/>
      <c r="N63" s="70"/>
      <c r="U63" s="155"/>
    </row>
    <row r="64" spans="1:21" ht="6" customHeight="1">
      <c r="A64" s="151"/>
      <c r="B64" s="156"/>
      <c r="C64" s="71"/>
      <c r="D64" s="71"/>
      <c r="E64" s="71"/>
      <c r="F64" s="71"/>
      <c r="G64" s="70"/>
      <c r="H64" s="71"/>
      <c r="I64" s="156"/>
      <c r="J64" s="71"/>
      <c r="K64" s="71"/>
      <c r="L64" s="71"/>
      <c r="M64" s="71"/>
      <c r="N64" s="70"/>
      <c r="U64" s="155"/>
    </row>
    <row r="65" spans="1:21" ht="18" customHeight="1">
      <c r="A65" s="151"/>
      <c r="B65" s="156"/>
      <c r="C65" s="71" t="s">
        <v>209</v>
      </c>
      <c r="D65" s="71"/>
      <c r="E65" s="71"/>
      <c r="F65" s="71"/>
      <c r="G65" s="70"/>
      <c r="H65" s="71"/>
      <c r="I65" s="156"/>
      <c r="J65" s="71" t="s">
        <v>209</v>
      </c>
      <c r="K65" s="71"/>
      <c r="L65" s="71"/>
      <c r="M65" s="71"/>
      <c r="N65" s="70"/>
      <c r="U65" s="155"/>
    </row>
    <row r="66" spans="1:21" ht="18" customHeight="1">
      <c r="A66" s="151"/>
      <c r="B66" s="156"/>
      <c r="C66" s="163" t="s">
        <v>210</v>
      </c>
      <c r="D66" s="251">
        <f>IF(D61=0,0,AVERAGE(D61:F63))</f>
        <v>0</v>
      </c>
      <c r="E66" s="164" t="s">
        <v>211</v>
      </c>
      <c r="F66" s="251">
        <f>IF(D66=0,0,D66/(1+D66))</f>
        <v>0</v>
      </c>
      <c r="G66" s="70"/>
      <c r="H66" s="71"/>
      <c r="I66" s="156"/>
      <c r="J66" s="163" t="s">
        <v>210</v>
      </c>
      <c r="K66" s="251">
        <f>IF(K61=0,0,AVERAGE(K61:M63))</f>
        <v>0</v>
      </c>
      <c r="L66" s="164" t="s">
        <v>211</v>
      </c>
      <c r="M66" s="251">
        <f>IF(K66=0,0,K66/(1+K66))</f>
        <v>0</v>
      </c>
      <c r="N66" s="70"/>
      <c r="U66" s="155"/>
    </row>
    <row r="67" spans="1:21" ht="6.75" customHeight="1">
      <c r="A67" s="151"/>
      <c r="B67" s="165"/>
      <c r="C67" s="166"/>
      <c r="D67" s="166"/>
      <c r="E67" s="166"/>
      <c r="F67" s="167"/>
      <c r="G67" s="168"/>
      <c r="H67" s="71"/>
      <c r="I67" s="165"/>
      <c r="J67" s="166"/>
      <c r="K67" s="166"/>
      <c r="L67" s="166"/>
      <c r="M67" s="167"/>
      <c r="N67" s="168"/>
      <c r="U67" s="155"/>
    </row>
    <row r="68" spans="1:21" ht="6.75" customHeight="1">
      <c r="A68" s="151"/>
      <c r="B68" s="71"/>
      <c r="C68" s="71"/>
      <c r="D68" s="71"/>
      <c r="E68" s="71"/>
      <c r="F68" s="169"/>
      <c r="G68" s="71"/>
      <c r="H68" s="71"/>
      <c r="O68" s="71"/>
      <c r="P68" s="71"/>
      <c r="Q68" s="71"/>
      <c r="R68" s="71"/>
      <c r="S68" s="169"/>
      <c r="T68" s="71"/>
      <c r="U68" s="155"/>
    </row>
    <row r="69" spans="1:21" ht="6" customHeight="1">
      <c r="A69" s="151"/>
      <c r="B69" s="71"/>
      <c r="C69" s="71"/>
      <c r="D69" s="71"/>
      <c r="E69" s="71"/>
      <c r="F69" s="71"/>
      <c r="G69" s="71"/>
      <c r="H69" s="71"/>
      <c r="I69" s="71"/>
      <c r="J69" s="71"/>
      <c r="K69" s="71"/>
      <c r="L69" s="71"/>
      <c r="M69" s="71"/>
      <c r="N69" s="71"/>
      <c r="O69" s="71"/>
      <c r="P69" s="71"/>
      <c r="Q69" s="71"/>
      <c r="R69" s="71"/>
      <c r="S69" s="71"/>
      <c r="T69" s="71"/>
      <c r="U69" s="155"/>
    </row>
    <row r="70" spans="1:21" ht="12.75" customHeight="1" thickBot="1">
      <c r="A70" s="170"/>
      <c r="B70" s="764" t="s">
        <v>213</v>
      </c>
      <c r="C70" s="764"/>
      <c r="D70" s="764"/>
      <c r="E70" s="764"/>
      <c r="F70" s="764"/>
      <c r="G70" s="764"/>
      <c r="H70" s="764"/>
      <c r="I70" s="764"/>
      <c r="J70" s="764"/>
      <c r="K70" s="764"/>
      <c r="L70" s="764"/>
      <c r="M70" s="764"/>
      <c r="N70" s="764"/>
      <c r="O70" s="764"/>
      <c r="P70" s="764"/>
      <c r="Q70" s="764"/>
      <c r="R70" s="764"/>
      <c r="S70" s="764"/>
      <c r="T70" s="764"/>
      <c r="U70" s="765"/>
    </row>
    <row r="71" ht="18" customHeight="1" thickTop="1"/>
    <row r="72" ht="6.75" customHeight="1"/>
    <row r="73" ht="6.75" customHeight="1"/>
    <row r="74" ht="6" customHeight="1"/>
    <row r="76" ht="15" customHeight="1"/>
    <row r="77" ht="20.25" customHeight="1"/>
    <row r="78" ht="20.25" customHeight="1"/>
    <row r="79" ht="20.25" customHeight="1"/>
    <row r="80" ht="6" customHeight="1"/>
    <row r="81" ht="12.75" customHeight="1"/>
    <row r="82" ht="18" customHeight="1"/>
    <row r="83" ht="6.75" customHeight="1"/>
    <row r="84" ht="6" customHeight="1"/>
  </sheetData>
  <sheetProtection/>
  <mergeCells count="24">
    <mergeCell ref="B2:T2"/>
    <mergeCell ref="B3:T3"/>
    <mergeCell ref="D6:F6"/>
    <mergeCell ref="K6:M6"/>
    <mergeCell ref="D7:F7"/>
    <mergeCell ref="K7:M7"/>
    <mergeCell ref="P7:S7"/>
    <mergeCell ref="K19:M19"/>
    <mergeCell ref="K20:M20"/>
    <mergeCell ref="D32:F32"/>
    <mergeCell ref="K32:M32"/>
    <mergeCell ref="D33:F33"/>
    <mergeCell ref="K33:M33"/>
    <mergeCell ref="D19:F19"/>
    <mergeCell ref="D20:F20"/>
    <mergeCell ref="D59:F59"/>
    <mergeCell ref="K59:M59"/>
    <mergeCell ref="B70:U70"/>
    <mergeCell ref="D45:F45"/>
    <mergeCell ref="K45:M45"/>
    <mergeCell ref="D46:F46"/>
    <mergeCell ref="K46:M46"/>
    <mergeCell ref="D58:F58"/>
    <mergeCell ref="K58:M58"/>
  </mergeCells>
  <printOptions/>
  <pageMargins left="0.7479166666666667" right="0.7479166666666667" top="0.75" bottom="0.75" header="0.5118055555555555" footer="0.5118055555555555"/>
  <pageSetup horizontalDpi="300" verticalDpi="300" orientation="landscape" scale="97" r:id="rId4"/>
  <drawing r:id="rId3"/>
  <legacyDrawing r:id="rId2"/>
  <oleObjects>
    <oleObject progId="Microsoft Equation 3.0" shapeId="163431868" r:id="rId1"/>
  </oleObjects>
</worksheet>
</file>

<file path=xl/worksheets/sheet16.xml><?xml version="1.0" encoding="utf-8"?>
<worksheet xmlns="http://schemas.openxmlformats.org/spreadsheetml/2006/main" xmlns:r="http://schemas.openxmlformats.org/officeDocument/2006/relationships">
  <sheetPr codeName="Sheet7"/>
  <dimension ref="A1:O26"/>
  <sheetViews>
    <sheetView showGridLines="0" zoomScalePageLayoutView="0" workbookViewId="0" topLeftCell="A1">
      <selection activeCell="N1" sqref="N1"/>
    </sheetView>
  </sheetViews>
  <sheetFormatPr defaultColWidth="9.140625" defaultRowHeight="12.75"/>
  <cols>
    <col min="1" max="1" width="2.28125" style="0" customWidth="1"/>
    <col min="2" max="2" width="28.421875" style="0" customWidth="1"/>
    <col min="3" max="3" width="14.421875" style="0" customWidth="1"/>
    <col min="4" max="4" width="2.7109375" style="341" customWidth="1"/>
    <col min="5" max="5" width="9.140625" style="343" customWidth="1"/>
    <col min="6" max="6" width="2.140625" style="341" customWidth="1"/>
    <col min="7" max="7" width="9.140625" style="343" customWidth="1"/>
    <col min="8" max="8" width="2.421875" style="341" customWidth="1"/>
    <col min="9" max="9" width="9.00390625" style="343" customWidth="1"/>
    <col min="10" max="10" width="2.28125" style="341" customWidth="1"/>
    <col min="11" max="11" width="7.7109375" style="343" customWidth="1"/>
    <col min="12" max="12" width="2.8515625" style="341" customWidth="1"/>
    <col min="13" max="13" width="9.140625" style="343" customWidth="1"/>
  </cols>
  <sheetData>
    <row r="1" spans="2:14" ht="12.75">
      <c r="B1" s="172" t="s">
        <v>214</v>
      </c>
      <c r="C1" s="172" t="s">
        <v>941</v>
      </c>
      <c r="D1" s="173"/>
      <c r="E1" s="172" t="s">
        <v>950</v>
      </c>
      <c r="M1" s="346" t="s">
        <v>756</v>
      </c>
      <c r="N1" s="258" t="s">
        <v>966</v>
      </c>
    </row>
    <row r="2" ht="12.75">
      <c r="B2" s="122"/>
    </row>
    <row r="3" spans="1:5" ht="12.75">
      <c r="A3">
        <v>1</v>
      </c>
      <c r="B3" s="122" t="s">
        <v>248</v>
      </c>
      <c r="C3" t="s">
        <v>248</v>
      </c>
      <c r="E3" s="343" t="s">
        <v>951</v>
      </c>
    </row>
    <row r="4" spans="1:5" ht="12.75">
      <c r="A4">
        <f>A3+1</f>
        <v>2</v>
      </c>
      <c r="B4" s="122" t="s">
        <v>260</v>
      </c>
      <c r="C4" t="s">
        <v>709</v>
      </c>
      <c r="E4" s="343" t="s">
        <v>952</v>
      </c>
    </row>
    <row r="5" spans="1:5" ht="12.75">
      <c r="A5">
        <f>A4+1</f>
        <v>3</v>
      </c>
      <c r="B5" s="122" t="s">
        <v>267</v>
      </c>
      <c r="C5" t="s">
        <v>710</v>
      </c>
      <c r="E5" s="343" t="s">
        <v>958</v>
      </c>
    </row>
    <row r="6" spans="1:3" ht="12.75">
      <c r="A6">
        <f>A5+1</f>
        <v>4</v>
      </c>
      <c r="B6" s="122" t="s">
        <v>271</v>
      </c>
      <c r="C6" t="s">
        <v>711</v>
      </c>
    </row>
    <row r="7" spans="1:3" ht="12.75">
      <c r="A7">
        <f>A6+1</f>
        <v>5</v>
      </c>
      <c r="B7" s="122" t="s">
        <v>273</v>
      </c>
      <c r="C7" t="s">
        <v>713</v>
      </c>
    </row>
    <row r="8" spans="1:3" ht="12.75">
      <c r="A8">
        <f>A7+1</f>
        <v>6</v>
      </c>
      <c r="B8" s="122" t="s">
        <v>275</v>
      </c>
      <c r="C8" t="s">
        <v>272</v>
      </c>
    </row>
    <row r="9" ht="12.75">
      <c r="C9" t="s">
        <v>714</v>
      </c>
    </row>
    <row r="10" ht="12.75">
      <c r="C10" t="s">
        <v>712</v>
      </c>
    </row>
    <row r="14" spans="2:13" ht="12.75">
      <c r="B14" s="122" t="s">
        <v>931</v>
      </c>
      <c r="C14" s="122" t="s">
        <v>90</v>
      </c>
      <c r="D14" s="171"/>
      <c r="E14" s="344" t="s">
        <v>847</v>
      </c>
      <c r="F14" s="171"/>
      <c r="G14" s="345" t="s">
        <v>848</v>
      </c>
      <c r="H14" s="310"/>
      <c r="I14" s="345" t="s">
        <v>849</v>
      </c>
      <c r="J14" s="310"/>
      <c r="K14" s="345" t="s">
        <v>850</v>
      </c>
      <c r="L14" s="310"/>
      <c r="M14" s="345" t="s">
        <v>851</v>
      </c>
    </row>
    <row r="15" spans="2:13" ht="13.5">
      <c r="B15" s="122" t="s">
        <v>852</v>
      </c>
      <c r="C15" s="122" t="s">
        <v>113</v>
      </c>
      <c r="D15" s="342" t="s">
        <v>883</v>
      </c>
      <c r="E15" s="344">
        <v>0.15</v>
      </c>
      <c r="F15" s="342" t="s">
        <v>884</v>
      </c>
      <c r="G15" s="344">
        <v>0.15</v>
      </c>
      <c r="H15" s="342" t="s">
        <v>884</v>
      </c>
      <c r="I15" s="345">
        <v>0.25</v>
      </c>
      <c r="J15" s="342" t="s">
        <v>884</v>
      </c>
      <c r="K15" s="345">
        <v>0.35</v>
      </c>
      <c r="L15" s="342" t="s">
        <v>884</v>
      </c>
      <c r="M15" s="345">
        <v>0.45</v>
      </c>
    </row>
    <row r="16" spans="2:13" ht="13.5">
      <c r="B16" s="122" t="s">
        <v>853</v>
      </c>
      <c r="C16" s="122" t="s">
        <v>854</v>
      </c>
      <c r="D16" s="342" t="s">
        <v>882</v>
      </c>
      <c r="E16" s="344">
        <v>0.05</v>
      </c>
      <c r="F16" s="342" t="s">
        <v>881</v>
      </c>
      <c r="G16" s="344">
        <v>0.05</v>
      </c>
      <c r="H16" s="342" t="s">
        <v>881</v>
      </c>
      <c r="I16" s="345">
        <v>0.039</v>
      </c>
      <c r="J16" s="342" t="s">
        <v>881</v>
      </c>
      <c r="K16" s="345">
        <v>0.028</v>
      </c>
      <c r="L16" s="342" t="s">
        <v>881</v>
      </c>
      <c r="M16" s="345">
        <v>0.017</v>
      </c>
    </row>
    <row r="17" spans="2:13" ht="13.5">
      <c r="B17" s="122" t="s">
        <v>855</v>
      </c>
      <c r="C17" s="122" t="s">
        <v>856</v>
      </c>
      <c r="D17" s="342" t="s">
        <v>882</v>
      </c>
      <c r="E17" s="344">
        <v>16</v>
      </c>
      <c r="F17" s="342" t="s">
        <v>881</v>
      </c>
      <c r="G17" s="344">
        <v>16</v>
      </c>
      <c r="H17" s="342" t="s">
        <v>881</v>
      </c>
      <c r="I17" s="345">
        <v>11</v>
      </c>
      <c r="J17" s="342" t="s">
        <v>881</v>
      </c>
      <c r="K17" s="345">
        <v>9</v>
      </c>
      <c r="L17" s="342" t="s">
        <v>881</v>
      </c>
      <c r="M17" s="345">
        <v>8</v>
      </c>
    </row>
    <row r="18" spans="2:13" ht="13.5">
      <c r="B18" s="122" t="s">
        <v>857</v>
      </c>
      <c r="C18" s="122" t="s">
        <v>858</v>
      </c>
      <c r="D18" s="342" t="s">
        <v>882</v>
      </c>
      <c r="E18" s="344">
        <v>0.2</v>
      </c>
      <c r="F18" s="342" t="s">
        <v>881</v>
      </c>
      <c r="G18" s="344">
        <v>0.2</v>
      </c>
      <c r="H18" s="342" t="s">
        <v>881</v>
      </c>
      <c r="I18" s="345">
        <v>0.13</v>
      </c>
      <c r="J18" s="342" t="s">
        <v>881</v>
      </c>
      <c r="K18" s="345">
        <v>0.1</v>
      </c>
      <c r="L18" s="342" t="s">
        <v>881</v>
      </c>
      <c r="M18" s="345">
        <v>0.09</v>
      </c>
    </row>
    <row r="19" spans="2:13" ht="13.5">
      <c r="B19" s="122" t="s">
        <v>859</v>
      </c>
      <c r="C19" s="122" t="s">
        <v>860</v>
      </c>
      <c r="D19" s="342" t="s">
        <v>882</v>
      </c>
      <c r="E19" s="344">
        <v>979</v>
      </c>
      <c r="F19" s="342" t="s">
        <v>881</v>
      </c>
      <c r="G19" s="344">
        <v>979</v>
      </c>
      <c r="H19" s="342" t="s">
        <v>881</v>
      </c>
      <c r="I19" s="345">
        <v>386</v>
      </c>
      <c r="J19" s="342" t="s">
        <v>881</v>
      </c>
      <c r="K19" s="345">
        <v>168</v>
      </c>
      <c r="L19" s="342" t="s">
        <v>881</v>
      </c>
      <c r="M19" s="345">
        <v>41</v>
      </c>
    </row>
    <row r="20" spans="2:13" ht="13.5">
      <c r="B20" s="122" t="s">
        <v>861</v>
      </c>
      <c r="C20" s="122" t="s">
        <v>862</v>
      </c>
      <c r="D20" s="342" t="s">
        <v>882</v>
      </c>
      <c r="E20" s="344">
        <v>8</v>
      </c>
      <c r="F20" s="342" t="s">
        <v>881</v>
      </c>
      <c r="G20" s="344">
        <v>8</v>
      </c>
      <c r="H20" s="342" t="s">
        <v>881</v>
      </c>
      <c r="I20" s="345">
        <v>4</v>
      </c>
      <c r="J20" s="342" t="s">
        <v>881</v>
      </c>
      <c r="K20" s="345">
        <v>2</v>
      </c>
      <c r="L20" s="342" t="s">
        <v>881</v>
      </c>
      <c r="M20" s="345">
        <v>1</v>
      </c>
    </row>
    <row r="21" spans="2:13" ht="13.5">
      <c r="B21" s="122" t="s">
        <v>863</v>
      </c>
      <c r="C21" s="122" t="s">
        <v>154</v>
      </c>
      <c r="D21" s="342" t="s">
        <v>882</v>
      </c>
      <c r="E21" s="344">
        <v>0.97</v>
      </c>
      <c r="F21" s="342" t="s">
        <v>881</v>
      </c>
      <c r="G21" s="344">
        <v>0.97</v>
      </c>
      <c r="H21" s="342" t="s">
        <v>881</v>
      </c>
      <c r="I21" s="345">
        <v>0.62</v>
      </c>
      <c r="J21" s="342" t="s">
        <v>881</v>
      </c>
      <c r="K21" s="345">
        <v>0.49</v>
      </c>
      <c r="L21" s="342" t="s">
        <v>881</v>
      </c>
      <c r="M21" s="345">
        <v>0.42</v>
      </c>
    </row>
    <row r="22" spans="2:13" ht="13.5">
      <c r="B22" s="122" t="s">
        <v>864</v>
      </c>
      <c r="C22" s="122" t="s">
        <v>865</v>
      </c>
      <c r="D22" s="342" t="s">
        <v>882</v>
      </c>
      <c r="E22" s="344">
        <v>40</v>
      </c>
      <c r="F22" s="342" t="s">
        <v>881</v>
      </c>
      <c r="G22" s="344">
        <v>40</v>
      </c>
      <c r="H22" s="342" t="s">
        <v>881</v>
      </c>
      <c r="I22" s="345">
        <v>17</v>
      </c>
      <c r="J22" s="342" t="s">
        <v>881</v>
      </c>
      <c r="K22" s="345">
        <v>8</v>
      </c>
      <c r="L22" s="342" t="s">
        <v>881</v>
      </c>
      <c r="M22" s="345">
        <v>2</v>
      </c>
    </row>
    <row r="23" spans="2:13" ht="13.5">
      <c r="B23" s="122" t="s">
        <v>866</v>
      </c>
      <c r="C23" s="122" t="s">
        <v>932</v>
      </c>
      <c r="D23" s="342" t="s">
        <v>883</v>
      </c>
      <c r="E23" s="344">
        <v>45</v>
      </c>
      <c r="F23" s="342" t="s">
        <v>884</v>
      </c>
      <c r="G23" s="344">
        <v>45</v>
      </c>
      <c r="H23" s="342" t="s">
        <v>884</v>
      </c>
      <c r="I23" s="345">
        <v>75</v>
      </c>
      <c r="J23" s="342" t="s">
        <v>884</v>
      </c>
      <c r="K23" s="345">
        <v>88</v>
      </c>
      <c r="L23" s="342" t="s">
        <v>884</v>
      </c>
      <c r="M23" s="345">
        <v>95</v>
      </c>
    </row>
    <row r="26" ht="12.75">
      <c r="O26" s="446"/>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6"/>
  <dimension ref="A1:AP104"/>
  <sheetViews>
    <sheetView showGridLines="0" showZeros="0" view="pageBreakPreview" zoomScale="80" zoomScaleNormal="85" zoomScaleSheetLayoutView="80" zoomScalePageLayoutView="0" workbookViewId="0" topLeftCell="A1">
      <pane ySplit="1" topLeftCell="A2" activePane="bottomLeft" state="frozen"/>
      <selection pane="topLeft" activeCell="A1" sqref="A1"/>
      <selection pane="bottomLeft" activeCell="C4" sqref="C4"/>
    </sheetView>
  </sheetViews>
  <sheetFormatPr defaultColWidth="9.140625" defaultRowHeight="12.75"/>
  <cols>
    <col min="1" max="1" width="5.7109375" style="122" customWidth="1"/>
    <col min="2" max="2" width="3.140625" style="122" customWidth="1"/>
    <col min="3" max="3" width="93.140625" style="129" customWidth="1"/>
    <col min="4" max="8" width="9.140625" style="122" hidden="1" customWidth="1"/>
    <col min="9" max="9" width="9.140625" style="122" customWidth="1"/>
    <col min="10" max="10" width="9.140625" style="122" hidden="1" customWidth="1"/>
    <col min="11" max="12" width="9.140625" style="122" customWidth="1"/>
    <col min="13" max="13" width="10.57421875" style="122" customWidth="1"/>
    <col min="14" max="14" width="7.00390625" style="122" customWidth="1"/>
    <col min="15" max="15" width="2.421875" style="122" customWidth="1"/>
    <col min="16" max="16" width="0" style="122" hidden="1" customWidth="1"/>
    <col min="17" max="17" width="0" style="171" hidden="1" customWidth="1"/>
    <col min="18" max="35" width="0" style="122" hidden="1" customWidth="1"/>
    <col min="36" max="37" width="9.140625" style="122" customWidth="1"/>
    <col min="38" max="38" width="14.421875" style="122" customWidth="1"/>
    <col min="39" max="40" width="23.00390625" style="122" customWidth="1"/>
    <col min="41" max="41" width="17.28125" style="122" customWidth="1"/>
    <col min="42" max="42" width="14.8515625" style="122" customWidth="1"/>
    <col min="43" max="16384" width="9.140625" style="122" customWidth="1"/>
  </cols>
  <sheetData>
    <row r="1" spans="1:41" ht="26.25" customHeight="1">
      <c r="A1" s="172"/>
      <c r="B1" s="172"/>
      <c r="C1" s="157" t="s">
        <v>215</v>
      </c>
      <c r="D1" s="172" t="s">
        <v>215</v>
      </c>
      <c r="E1" s="172" t="s">
        <v>216</v>
      </c>
      <c r="F1" s="768" t="s">
        <v>217</v>
      </c>
      <c r="G1" s="768"/>
      <c r="H1" s="768"/>
      <c r="I1" s="175" t="s">
        <v>720</v>
      </c>
      <c r="J1" s="175" t="s">
        <v>724</v>
      </c>
      <c r="K1" s="175" t="s">
        <v>721</v>
      </c>
      <c r="L1" s="175" t="s">
        <v>735</v>
      </c>
      <c r="M1" s="175" t="s">
        <v>825</v>
      </c>
      <c r="P1" s="172" t="s">
        <v>218</v>
      </c>
      <c r="Q1" s="173" t="s">
        <v>219</v>
      </c>
      <c r="R1" s="172" t="s">
        <v>220</v>
      </c>
      <c r="S1" s="172" t="s">
        <v>221</v>
      </c>
      <c r="T1" s="172" t="s">
        <v>222</v>
      </c>
      <c r="U1" s="172" t="s">
        <v>223</v>
      </c>
      <c r="V1" s="172" t="s">
        <v>224</v>
      </c>
      <c r="W1" s="172"/>
      <c r="X1" s="172"/>
      <c r="Y1" s="172" t="s">
        <v>225</v>
      </c>
      <c r="AA1" s="122" t="s">
        <v>226</v>
      </c>
      <c r="AB1" s="174"/>
      <c r="AC1" s="174"/>
      <c r="AD1" s="174"/>
      <c r="AE1" s="174"/>
      <c r="AL1" s="122" t="s">
        <v>227</v>
      </c>
      <c r="AM1" s="122" t="s">
        <v>228</v>
      </c>
      <c r="AO1" s="122" t="s">
        <v>229</v>
      </c>
    </row>
    <row r="2" spans="6:41" ht="14.25" customHeight="1">
      <c r="F2" s="122" t="s">
        <v>230</v>
      </c>
      <c r="G2" s="122" t="s">
        <v>231</v>
      </c>
      <c r="H2" s="122" t="s">
        <v>232</v>
      </c>
      <c r="N2" s="122" t="s">
        <v>233</v>
      </c>
      <c r="P2" s="172" t="s">
        <v>234</v>
      </c>
      <c r="Q2" s="173" t="s">
        <v>235</v>
      </c>
      <c r="R2" s="172" t="s">
        <v>236</v>
      </c>
      <c r="S2" s="172" t="s">
        <v>237</v>
      </c>
      <c r="T2" s="172" t="s">
        <v>238</v>
      </c>
      <c r="U2" s="172" t="s">
        <v>239</v>
      </c>
      <c r="V2" s="172" t="s">
        <v>240</v>
      </c>
      <c r="W2" s="172" t="s">
        <v>230</v>
      </c>
      <c r="X2" s="172" t="s">
        <v>241</v>
      </c>
      <c r="Y2" s="172" t="s">
        <v>242</v>
      </c>
      <c r="AA2" s="175"/>
      <c r="AB2" s="769" t="s">
        <v>243</v>
      </c>
      <c r="AC2" s="769"/>
      <c r="AD2" s="769" t="s">
        <v>244</v>
      </c>
      <c r="AE2" s="769"/>
      <c r="AG2" s="177" t="s">
        <v>245</v>
      </c>
      <c r="AH2" s="178">
        <v>20370</v>
      </c>
      <c r="AI2" s="177">
        <v>1</v>
      </c>
      <c r="AL2" s="122" t="s">
        <v>246</v>
      </c>
      <c r="AM2" s="122">
        <v>43.3</v>
      </c>
      <c r="AO2" s="122" t="s">
        <v>247</v>
      </c>
    </row>
    <row r="3" spans="2:41" ht="63.75">
      <c r="B3" s="122">
        <f aca="true" t="shared" si="0" ref="B3:B68">B2+1</f>
        <v>1</v>
      </c>
      <c r="C3" s="129" t="s">
        <v>248</v>
      </c>
      <c r="D3" s="122" t="s">
        <v>249</v>
      </c>
      <c r="I3" s="174"/>
      <c r="N3" s="171" t="s">
        <v>92</v>
      </c>
      <c r="P3" s="122" t="s">
        <v>250</v>
      </c>
      <c r="Q3" s="179" t="s">
        <v>251</v>
      </c>
      <c r="R3" s="180">
        <v>37845</v>
      </c>
      <c r="S3" s="122" t="s">
        <v>252</v>
      </c>
      <c r="T3" s="122" t="s">
        <v>253</v>
      </c>
      <c r="U3" s="122" t="s">
        <v>254</v>
      </c>
      <c r="V3" s="122" t="s">
        <v>255</v>
      </c>
      <c r="W3" s="122">
        <v>17.7</v>
      </c>
      <c r="X3" s="122">
        <v>20.3</v>
      </c>
      <c r="Y3" s="174">
        <f>1000*AVERAGE(W3:X3)</f>
        <v>19000</v>
      </c>
      <c r="AA3" s="175"/>
      <c r="AB3" s="176" t="s">
        <v>256</v>
      </c>
      <c r="AC3" s="176" t="s">
        <v>257</v>
      </c>
      <c r="AD3" s="176" t="s">
        <v>256</v>
      </c>
      <c r="AE3" s="176" t="s">
        <v>257</v>
      </c>
      <c r="AG3" s="177" t="s">
        <v>258</v>
      </c>
      <c r="AH3" s="178">
        <v>15687</v>
      </c>
      <c r="AI3" s="177">
        <v>1</v>
      </c>
      <c r="AM3" s="122">
        <v>43.6</v>
      </c>
      <c r="AO3" s="122" t="s">
        <v>259</v>
      </c>
    </row>
    <row r="4" spans="2:41" ht="12.75">
      <c r="B4" s="122">
        <f t="shared" si="0"/>
        <v>2</v>
      </c>
      <c r="C4" s="181" t="s">
        <v>261</v>
      </c>
      <c r="I4" s="174">
        <f>ROUND(AVERAGE(AM5:AM8)*1000,-2)</f>
        <v>48000</v>
      </c>
      <c r="J4" s="174"/>
      <c r="K4" s="174">
        <f>I4-3300</f>
        <v>44700</v>
      </c>
      <c r="L4" s="280">
        <v>0</v>
      </c>
      <c r="M4" s="301">
        <v>0.818</v>
      </c>
      <c r="P4" s="122" t="s">
        <v>262</v>
      </c>
      <c r="Q4" s="171">
        <v>17</v>
      </c>
      <c r="R4" s="122">
        <v>8</v>
      </c>
      <c r="S4" s="122" t="s">
        <v>252</v>
      </c>
      <c r="U4" s="122" t="s">
        <v>254</v>
      </c>
      <c r="V4" s="122" t="s">
        <v>263</v>
      </c>
      <c r="W4" s="122">
        <v>18.7</v>
      </c>
      <c r="Y4" s="174">
        <f aca="true" t="shared" si="1" ref="Y4:Y55">1000*AVERAGE(W4:X4)</f>
        <v>18700</v>
      </c>
      <c r="AA4" s="122" t="s">
        <v>264</v>
      </c>
      <c r="AB4" s="174">
        <v>8950</v>
      </c>
      <c r="AC4" s="174">
        <v>8150</v>
      </c>
      <c r="AD4" s="174">
        <f aca="true" t="shared" si="2" ref="AD4:AE16">AB4*1.055*2.2</f>
        <v>20772.95</v>
      </c>
      <c r="AE4" s="174">
        <f t="shared" si="2"/>
        <v>18916.15</v>
      </c>
      <c r="AG4" s="177" t="s">
        <v>265</v>
      </c>
      <c r="AH4" s="178">
        <v>19530</v>
      </c>
      <c r="AI4" s="177">
        <v>1</v>
      </c>
      <c r="AM4" s="122">
        <v>43.1</v>
      </c>
      <c r="AO4" s="122" t="s">
        <v>266</v>
      </c>
    </row>
    <row r="5" spans="2:41" ht="12.75">
      <c r="B5" s="122">
        <f t="shared" si="0"/>
        <v>3</v>
      </c>
      <c r="C5" s="181" t="s">
        <v>246</v>
      </c>
      <c r="I5" s="174">
        <f>ROUND(AVERAGE(AM2:AM4)*1000,-2)</f>
        <v>43300</v>
      </c>
      <c r="J5" s="174"/>
      <c r="K5" s="174">
        <f>I5-3600</f>
        <v>39700</v>
      </c>
      <c r="L5" s="280">
        <v>0</v>
      </c>
      <c r="M5" s="301">
        <v>0.845</v>
      </c>
      <c r="P5" s="122" t="s">
        <v>268</v>
      </c>
      <c r="Q5" s="171" t="s">
        <v>263</v>
      </c>
      <c r="R5" s="122" t="s">
        <v>263</v>
      </c>
      <c r="S5" s="122" t="s">
        <v>252</v>
      </c>
      <c r="U5" s="122" t="s">
        <v>254</v>
      </c>
      <c r="V5" s="122">
        <v>840</v>
      </c>
      <c r="W5" s="122">
        <v>19.2</v>
      </c>
      <c r="Y5" s="174">
        <f t="shared" si="1"/>
        <v>19200</v>
      </c>
      <c r="AA5" s="122" t="s">
        <v>269</v>
      </c>
      <c r="AB5" s="174"/>
      <c r="AC5" s="174">
        <v>8150</v>
      </c>
      <c r="AD5" s="174">
        <f t="shared" si="2"/>
        <v>0</v>
      </c>
      <c r="AE5" s="174">
        <f t="shared" si="2"/>
        <v>18916.15</v>
      </c>
      <c r="AG5" s="122" t="s">
        <v>270</v>
      </c>
      <c r="AH5" s="174">
        <v>20475</v>
      </c>
      <c r="AI5" s="122">
        <v>1</v>
      </c>
      <c r="AL5" s="122" t="s">
        <v>261</v>
      </c>
      <c r="AM5" s="122">
        <v>49</v>
      </c>
      <c r="AO5" s="122" t="s">
        <v>247</v>
      </c>
    </row>
    <row r="6" spans="2:41" ht="12.75">
      <c r="B6" s="122">
        <f t="shared" si="0"/>
        <v>4</v>
      </c>
      <c r="C6" s="181" t="s">
        <v>774</v>
      </c>
      <c r="I6" s="174">
        <v>26800</v>
      </c>
      <c r="J6" s="174"/>
      <c r="K6" s="174">
        <f>I6-2600</f>
        <v>24200</v>
      </c>
      <c r="L6" s="280">
        <v>0</v>
      </c>
      <c r="M6" s="301">
        <f>0.522</f>
        <v>0.522</v>
      </c>
      <c r="Y6" s="174"/>
      <c r="AB6" s="174"/>
      <c r="AC6" s="174"/>
      <c r="AD6" s="174"/>
      <c r="AE6" s="174"/>
      <c r="AH6" s="174"/>
      <c r="AM6" s="122">
        <v>47.1</v>
      </c>
      <c r="AO6" s="122" t="s">
        <v>259</v>
      </c>
    </row>
    <row r="7" spans="2:41" ht="12.75">
      <c r="B7" s="122">
        <f t="shared" si="0"/>
        <v>5</v>
      </c>
      <c r="C7" s="181" t="s">
        <v>775</v>
      </c>
      <c r="I7" s="174">
        <v>22700</v>
      </c>
      <c r="J7" s="174"/>
      <c r="K7" s="174">
        <v>21100</v>
      </c>
      <c r="L7" s="280">
        <v>0</v>
      </c>
      <c r="M7" s="301">
        <v>0.375</v>
      </c>
      <c r="Y7" s="174"/>
      <c r="AB7" s="174"/>
      <c r="AC7" s="174"/>
      <c r="AD7" s="174"/>
      <c r="AE7" s="174"/>
      <c r="AH7" s="174"/>
      <c r="AM7" s="122">
        <v>45.8</v>
      </c>
      <c r="AO7" s="122" t="s">
        <v>266</v>
      </c>
    </row>
    <row r="8" spans="2:41" ht="12.75">
      <c r="B8" s="122">
        <f t="shared" si="0"/>
        <v>6</v>
      </c>
      <c r="C8" s="181" t="s">
        <v>272</v>
      </c>
      <c r="I8" s="174">
        <v>31000</v>
      </c>
      <c r="J8" s="174"/>
      <c r="K8" s="174">
        <f>I8-1200</f>
        <v>29800</v>
      </c>
      <c r="L8" s="280">
        <v>29800</v>
      </c>
      <c r="M8" s="301">
        <v>0.95</v>
      </c>
      <c r="Y8" s="174"/>
      <c r="AB8" s="174"/>
      <c r="AC8" s="174"/>
      <c r="AD8" s="174"/>
      <c r="AE8" s="174"/>
      <c r="AH8" s="174"/>
      <c r="AM8" s="122">
        <v>50.1</v>
      </c>
      <c r="AO8" s="122" t="s">
        <v>277</v>
      </c>
    </row>
    <row r="9" spans="2:41" ht="12.75">
      <c r="B9" s="122">
        <f t="shared" si="0"/>
        <v>7</v>
      </c>
      <c r="C9" s="181" t="s">
        <v>274</v>
      </c>
      <c r="I9" s="174">
        <f>ROUND(AVERAGE(AM31:AM36)*1000+(0.05*(75*4.2/1000+2.26)/0.95),-2)</f>
        <v>24700</v>
      </c>
      <c r="J9" s="174"/>
      <c r="K9" s="174">
        <f>I9-1200</f>
        <v>23500</v>
      </c>
      <c r="L9" s="217">
        <v>29500</v>
      </c>
      <c r="M9" s="286">
        <v>0.75</v>
      </c>
      <c r="Y9" s="174"/>
      <c r="AB9" s="174"/>
      <c r="AC9" s="174"/>
      <c r="AD9" s="174"/>
      <c r="AE9" s="174"/>
      <c r="AH9" s="174"/>
      <c r="AL9" s="122" t="s">
        <v>279</v>
      </c>
      <c r="AM9" s="122">
        <v>51.3</v>
      </c>
      <c r="AO9" s="122" t="s">
        <v>247</v>
      </c>
    </row>
    <row r="10" spans="2:34" ht="12.75">
      <c r="B10" s="122">
        <f t="shared" si="0"/>
        <v>8</v>
      </c>
      <c r="C10" s="181" t="s">
        <v>276</v>
      </c>
      <c r="I10" s="174">
        <f>ROUND(AVERAGE(AM22:AM27)*1000+(0.07*(75*4.2/1000+2.26)/0.93),-2)</f>
        <v>14700</v>
      </c>
      <c r="J10" s="174"/>
      <c r="K10" s="174">
        <f>I10-1320</f>
        <v>13380</v>
      </c>
      <c r="L10" s="217">
        <v>29500</v>
      </c>
      <c r="M10" s="286">
        <v>0.5</v>
      </c>
      <c r="Y10" s="174"/>
      <c r="AB10" s="174"/>
      <c r="AC10" s="174"/>
      <c r="AD10" s="174"/>
      <c r="AE10" s="174"/>
      <c r="AH10" s="174"/>
    </row>
    <row r="11" spans="2:41" ht="12.75">
      <c r="B11" s="122">
        <f t="shared" si="0"/>
        <v>9</v>
      </c>
      <c r="C11" s="181" t="s">
        <v>278</v>
      </c>
      <c r="I11" s="174">
        <f>ROUND(AVERAGE(AM28:AM29)*1000+(0.06*(75*4.2/1000+2.26)/0.94),-2)</f>
        <v>13600</v>
      </c>
      <c r="J11" s="174"/>
      <c r="K11" s="174">
        <f aca="true" t="shared" si="3" ref="K11:K74">I11-1320</f>
        <v>12280</v>
      </c>
      <c r="L11" s="217">
        <v>29500</v>
      </c>
      <c r="M11" s="286">
        <v>0.5</v>
      </c>
      <c r="Y11" s="174"/>
      <c r="AB11" s="174"/>
      <c r="AC11" s="174"/>
      <c r="AD11" s="174"/>
      <c r="AE11" s="174"/>
      <c r="AH11" s="174"/>
      <c r="AL11" s="122" t="s">
        <v>283</v>
      </c>
      <c r="AM11" s="122">
        <v>17.7</v>
      </c>
      <c r="AO11" s="122" t="s">
        <v>266</v>
      </c>
    </row>
    <row r="12" spans="2:41" ht="12.75">
      <c r="B12" s="122">
        <f t="shared" si="0"/>
        <v>10</v>
      </c>
      <c r="C12" s="129" t="s">
        <v>280</v>
      </c>
      <c r="D12" s="122" t="s">
        <v>280</v>
      </c>
      <c r="I12" s="174">
        <v>19734</v>
      </c>
      <c r="K12" s="174">
        <f t="shared" si="3"/>
        <v>18414</v>
      </c>
      <c r="L12" s="217">
        <v>29500</v>
      </c>
      <c r="M12" s="286">
        <v>0.5</v>
      </c>
      <c r="N12" s="122">
        <v>3</v>
      </c>
      <c r="P12" s="122" t="s">
        <v>286</v>
      </c>
      <c r="Q12" s="171">
        <v>19</v>
      </c>
      <c r="R12" s="122">
        <v>20</v>
      </c>
      <c r="S12" s="122" t="s">
        <v>252</v>
      </c>
      <c r="U12" s="122" t="s">
        <v>254</v>
      </c>
      <c r="V12" s="122" t="s">
        <v>263</v>
      </c>
      <c r="W12" s="122">
        <v>21.8</v>
      </c>
      <c r="Y12" s="174">
        <f t="shared" si="1"/>
        <v>21800</v>
      </c>
      <c r="AA12" s="122" t="s">
        <v>287</v>
      </c>
      <c r="AB12" s="174">
        <v>9000</v>
      </c>
      <c r="AC12" s="174">
        <v>8800</v>
      </c>
      <c r="AD12" s="174">
        <f t="shared" si="2"/>
        <v>20889</v>
      </c>
      <c r="AE12" s="174">
        <f t="shared" si="2"/>
        <v>20424.800000000003</v>
      </c>
      <c r="AG12" s="122" t="s">
        <v>288</v>
      </c>
      <c r="AH12" s="174">
        <v>18480</v>
      </c>
      <c r="AI12" s="122">
        <v>1</v>
      </c>
      <c r="AL12" s="122" t="s">
        <v>774</v>
      </c>
      <c r="AM12" s="122">
        <v>26.8</v>
      </c>
      <c r="AO12" s="122" t="s">
        <v>934</v>
      </c>
    </row>
    <row r="13" spans="2:38" ht="12.75">
      <c r="B13" s="122">
        <f t="shared" si="0"/>
        <v>11</v>
      </c>
      <c r="C13" s="129" t="s">
        <v>281</v>
      </c>
      <c r="D13" s="122" t="s">
        <v>282</v>
      </c>
      <c r="I13" s="174">
        <v>20817</v>
      </c>
      <c r="J13" s="174"/>
      <c r="K13" s="174">
        <f t="shared" si="3"/>
        <v>19497</v>
      </c>
      <c r="L13" s="217">
        <v>29500</v>
      </c>
      <c r="M13" s="286">
        <v>0.5</v>
      </c>
      <c r="N13" s="122">
        <v>3</v>
      </c>
      <c r="P13" s="122" t="s">
        <v>292</v>
      </c>
      <c r="Q13" s="179" t="s">
        <v>293</v>
      </c>
      <c r="R13" s="180">
        <v>37812</v>
      </c>
      <c r="S13" s="122" t="s">
        <v>252</v>
      </c>
      <c r="T13" s="122" t="s">
        <v>253</v>
      </c>
      <c r="U13" s="122" t="s">
        <v>254</v>
      </c>
      <c r="V13" s="122" t="s">
        <v>294</v>
      </c>
      <c r="W13" s="122">
        <v>16.7</v>
      </c>
      <c r="X13" s="122">
        <v>19.3</v>
      </c>
      <c r="Y13" s="174">
        <f t="shared" si="1"/>
        <v>18000</v>
      </c>
      <c r="AA13" s="122" t="s">
        <v>295</v>
      </c>
      <c r="AB13" s="174">
        <v>7250</v>
      </c>
      <c r="AC13" s="174"/>
      <c r="AD13" s="174">
        <f t="shared" si="2"/>
        <v>16827.25</v>
      </c>
      <c r="AE13" s="174">
        <f t="shared" si="2"/>
        <v>0</v>
      </c>
      <c r="AG13" s="177" t="s">
        <v>296</v>
      </c>
      <c r="AH13" s="178">
        <v>13066.2</v>
      </c>
      <c r="AI13" s="177">
        <v>1</v>
      </c>
      <c r="AL13" s="183"/>
    </row>
    <row r="14" spans="2:41" ht="12.75">
      <c r="B14" s="122">
        <f t="shared" si="0"/>
        <v>12</v>
      </c>
      <c r="C14" s="129" t="s">
        <v>284</v>
      </c>
      <c r="D14" s="122" t="s">
        <v>285</v>
      </c>
      <c r="E14" s="122" t="s">
        <v>264</v>
      </c>
      <c r="I14" s="174">
        <f>VLOOKUP(E14,'Calorific values'!AA4:AE26,5)</f>
        <v>18916.15</v>
      </c>
      <c r="J14" s="174"/>
      <c r="K14" s="174">
        <f t="shared" si="3"/>
        <v>17596.15</v>
      </c>
      <c r="L14" s="217">
        <v>29500</v>
      </c>
      <c r="M14" s="286">
        <v>0.5</v>
      </c>
      <c r="N14" s="122">
        <v>2</v>
      </c>
      <c r="P14" s="122" t="s">
        <v>300</v>
      </c>
      <c r="Q14" s="171" t="s">
        <v>301</v>
      </c>
      <c r="R14" s="180">
        <v>37756</v>
      </c>
      <c r="S14" s="122" t="s">
        <v>252</v>
      </c>
      <c r="T14" s="122" t="s">
        <v>253</v>
      </c>
      <c r="U14" s="122" t="s">
        <v>302</v>
      </c>
      <c r="V14" s="122">
        <v>330</v>
      </c>
      <c r="W14" s="122">
        <v>18.1</v>
      </c>
      <c r="Y14" s="174">
        <f t="shared" si="1"/>
        <v>18100</v>
      </c>
      <c r="AA14" s="122" t="s">
        <v>303</v>
      </c>
      <c r="AB14" s="174">
        <v>9790</v>
      </c>
      <c r="AC14" s="174">
        <v>8890</v>
      </c>
      <c r="AD14" s="174">
        <f t="shared" si="2"/>
        <v>22722.59</v>
      </c>
      <c r="AE14" s="174">
        <f t="shared" si="2"/>
        <v>20633.69</v>
      </c>
      <c r="AG14" s="122" t="s">
        <v>304</v>
      </c>
      <c r="AH14" s="174">
        <v>21840</v>
      </c>
      <c r="AI14" s="122">
        <v>1</v>
      </c>
      <c r="AL14" s="183" t="s">
        <v>227</v>
      </c>
      <c r="AM14" s="122" t="s">
        <v>228</v>
      </c>
      <c r="AO14" s="122" t="s">
        <v>229</v>
      </c>
    </row>
    <row r="15" spans="2:42" ht="12.75">
      <c r="B15" s="122">
        <f t="shared" si="0"/>
        <v>13</v>
      </c>
      <c r="C15" s="129" t="s">
        <v>289</v>
      </c>
      <c r="D15" s="122" t="s">
        <v>290</v>
      </c>
      <c r="E15" s="122" t="s">
        <v>291</v>
      </c>
      <c r="F15" s="122">
        <v>4800</v>
      </c>
      <c r="G15" s="122">
        <v>4900</v>
      </c>
      <c r="H15" s="182">
        <f>AVERAGE(F15,G15)</f>
        <v>4850</v>
      </c>
      <c r="I15" s="174">
        <f>H15*4.2</f>
        <v>20370</v>
      </c>
      <c r="J15" s="174"/>
      <c r="K15" s="174">
        <f t="shared" si="3"/>
        <v>19050</v>
      </c>
      <c r="L15" s="217">
        <v>29500</v>
      </c>
      <c r="M15" s="286">
        <v>0.5</v>
      </c>
      <c r="N15" s="122">
        <v>1</v>
      </c>
      <c r="P15" s="122" t="s">
        <v>308</v>
      </c>
      <c r="Q15" s="171">
        <v>5</v>
      </c>
      <c r="R15" s="180">
        <v>37909</v>
      </c>
      <c r="S15" s="122" t="s">
        <v>252</v>
      </c>
      <c r="T15" s="122" t="s">
        <v>253</v>
      </c>
      <c r="U15" s="122" t="s">
        <v>309</v>
      </c>
      <c r="V15" s="122" t="s">
        <v>310</v>
      </c>
      <c r="W15" s="122">
        <v>21.8</v>
      </c>
      <c r="Y15" s="174">
        <f t="shared" si="1"/>
        <v>21800</v>
      </c>
      <c r="AA15" s="122" t="s">
        <v>311</v>
      </c>
      <c r="AB15" s="174">
        <v>8870</v>
      </c>
      <c r="AC15" s="174">
        <v>8410</v>
      </c>
      <c r="AD15" s="174">
        <f t="shared" si="2"/>
        <v>20587.269999999997</v>
      </c>
      <c r="AE15" s="174">
        <f t="shared" si="2"/>
        <v>19519.61</v>
      </c>
      <c r="AG15" s="122" t="s">
        <v>312</v>
      </c>
      <c r="AH15" s="174">
        <v>19320</v>
      </c>
      <c r="AI15" s="122">
        <v>1</v>
      </c>
      <c r="AL15" s="183" t="s">
        <v>272</v>
      </c>
      <c r="AM15" s="122">
        <v>25.7</v>
      </c>
      <c r="AN15" s="122" t="s">
        <v>313</v>
      </c>
      <c r="AO15" s="122" t="s">
        <v>266</v>
      </c>
      <c r="AP15" s="304"/>
    </row>
    <row r="16" spans="2:41" ht="12.75">
      <c r="B16" s="122">
        <f t="shared" si="0"/>
        <v>14</v>
      </c>
      <c r="C16" s="129" t="s">
        <v>297</v>
      </c>
      <c r="D16" s="122" t="s">
        <v>298</v>
      </c>
      <c r="E16" s="122" t="s">
        <v>299</v>
      </c>
      <c r="H16" s="182"/>
      <c r="I16" s="174">
        <v>18700</v>
      </c>
      <c r="J16" s="174"/>
      <c r="K16" s="174">
        <f t="shared" si="3"/>
        <v>17380</v>
      </c>
      <c r="L16" s="217">
        <v>29500</v>
      </c>
      <c r="M16" s="286">
        <v>0.5</v>
      </c>
      <c r="N16" s="122">
        <v>4</v>
      </c>
      <c r="P16" s="122" t="s">
        <v>317</v>
      </c>
      <c r="Q16" s="171" t="s">
        <v>263</v>
      </c>
      <c r="R16" s="122" t="s">
        <v>263</v>
      </c>
      <c r="S16" s="122" t="s">
        <v>252</v>
      </c>
      <c r="T16" s="122" t="s">
        <v>253</v>
      </c>
      <c r="U16" s="122" t="s">
        <v>309</v>
      </c>
      <c r="V16" s="122">
        <v>660</v>
      </c>
      <c r="W16" s="122">
        <v>19.7</v>
      </c>
      <c r="Y16" s="174">
        <f t="shared" si="1"/>
        <v>19700</v>
      </c>
      <c r="AA16" s="122" t="s">
        <v>318</v>
      </c>
      <c r="AB16" s="174"/>
      <c r="AC16" s="174">
        <v>8170</v>
      </c>
      <c r="AD16" s="174">
        <f t="shared" si="2"/>
        <v>0</v>
      </c>
      <c r="AE16" s="174">
        <f t="shared" si="2"/>
        <v>18962.570000000003</v>
      </c>
      <c r="AG16" s="122" t="s">
        <v>319</v>
      </c>
      <c r="AH16" s="174">
        <v>20580</v>
      </c>
      <c r="AI16" s="122">
        <v>1</v>
      </c>
      <c r="AL16" s="183"/>
      <c r="AM16" s="122">
        <v>27.6</v>
      </c>
      <c r="AN16" s="122" t="s">
        <v>320</v>
      </c>
      <c r="AO16" s="122" t="s">
        <v>321</v>
      </c>
    </row>
    <row r="17" spans="2:41" ht="12.75">
      <c r="B17" s="122">
        <f t="shared" si="0"/>
        <v>15</v>
      </c>
      <c r="C17" s="129" t="s">
        <v>305</v>
      </c>
      <c r="D17" s="122" t="s">
        <v>306</v>
      </c>
      <c r="E17" s="122" t="s">
        <v>307</v>
      </c>
      <c r="I17" s="174">
        <v>19200</v>
      </c>
      <c r="K17" s="174">
        <f t="shared" si="3"/>
        <v>17880</v>
      </c>
      <c r="L17" s="217">
        <v>29500</v>
      </c>
      <c r="M17" s="286">
        <v>0.5</v>
      </c>
      <c r="N17" s="122">
        <v>4</v>
      </c>
      <c r="P17" s="122" t="s">
        <v>325</v>
      </c>
      <c r="Q17" s="179" t="s">
        <v>251</v>
      </c>
      <c r="R17" s="122" t="s">
        <v>326</v>
      </c>
      <c r="S17" s="122" t="s">
        <v>252</v>
      </c>
      <c r="T17" s="122" t="s">
        <v>253</v>
      </c>
      <c r="U17" s="122" t="s">
        <v>327</v>
      </c>
      <c r="V17" s="122" t="s">
        <v>328</v>
      </c>
      <c r="W17" s="122">
        <v>16</v>
      </c>
      <c r="X17" s="122">
        <v>18.3</v>
      </c>
      <c r="Y17" s="174">
        <f t="shared" si="1"/>
        <v>17150</v>
      </c>
      <c r="AA17" s="122" t="s">
        <v>329</v>
      </c>
      <c r="AB17" s="174"/>
      <c r="AC17" s="174">
        <v>9110</v>
      </c>
      <c r="AD17" s="174"/>
      <c r="AE17" s="174">
        <f aca="true" t="shared" si="4" ref="AE17:AE26">AC17*1.055*2.2</f>
        <v>21144.31</v>
      </c>
      <c r="AG17" s="122" t="s">
        <v>330</v>
      </c>
      <c r="AH17" s="174">
        <v>19320</v>
      </c>
      <c r="AI17" s="122">
        <v>1</v>
      </c>
      <c r="AL17" s="183"/>
      <c r="AM17" s="122">
        <v>29.2</v>
      </c>
      <c r="AN17" s="122" t="s">
        <v>320</v>
      </c>
      <c r="AO17" s="122" t="s">
        <v>321</v>
      </c>
    </row>
    <row r="18" spans="2:41" ht="12.75">
      <c r="B18" s="122">
        <f t="shared" si="0"/>
        <v>16</v>
      </c>
      <c r="C18" s="129" t="s">
        <v>314</v>
      </c>
      <c r="D18" s="122" t="s">
        <v>315</v>
      </c>
      <c r="E18" s="122" t="s">
        <v>316</v>
      </c>
      <c r="I18" s="174">
        <v>21800</v>
      </c>
      <c r="K18" s="174">
        <f t="shared" si="3"/>
        <v>20480</v>
      </c>
      <c r="L18" s="217">
        <v>29500</v>
      </c>
      <c r="M18" s="286">
        <v>0.5</v>
      </c>
      <c r="N18" s="122">
        <v>4</v>
      </c>
      <c r="P18" s="122" t="s">
        <v>334</v>
      </c>
      <c r="Q18" s="171" t="s">
        <v>263</v>
      </c>
      <c r="R18" s="122" t="s">
        <v>263</v>
      </c>
      <c r="S18" s="122" t="s">
        <v>335</v>
      </c>
      <c r="T18" s="122" t="s">
        <v>336</v>
      </c>
      <c r="U18" s="122" t="s">
        <v>337</v>
      </c>
      <c r="V18" s="122">
        <v>560</v>
      </c>
      <c r="W18" s="122">
        <v>19.2</v>
      </c>
      <c r="Y18" s="174">
        <f t="shared" si="1"/>
        <v>19200</v>
      </c>
      <c r="AA18" s="122" t="s">
        <v>338</v>
      </c>
      <c r="AB18" s="174"/>
      <c r="AC18" s="174">
        <v>8050</v>
      </c>
      <c r="AD18" s="174">
        <f aca="true" t="shared" si="5" ref="AD18:AD26">AB18*1.055*2.2</f>
        <v>0</v>
      </c>
      <c r="AE18" s="174">
        <f t="shared" si="4"/>
        <v>18684.050000000003</v>
      </c>
      <c r="AG18" s="177" t="s">
        <v>339</v>
      </c>
      <c r="AH18" s="178">
        <v>19425</v>
      </c>
      <c r="AI18" s="177">
        <v>1</v>
      </c>
      <c r="AL18" s="183"/>
      <c r="AM18" s="122">
        <v>30</v>
      </c>
      <c r="AN18" s="122" t="s">
        <v>320</v>
      </c>
      <c r="AO18" s="122" t="s">
        <v>321</v>
      </c>
    </row>
    <row r="19" spans="2:41" ht="12.75">
      <c r="B19" s="122">
        <f t="shared" si="0"/>
        <v>17</v>
      </c>
      <c r="C19" s="129" t="s">
        <v>322</v>
      </c>
      <c r="D19" s="122" t="s">
        <v>323</v>
      </c>
      <c r="E19" s="122" t="s">
        <v>324</v>
      </c>
      <c r="F19" s="122">
        <v>4650</v>
      </c>
      <c r="H19" s="182">
        <f>AVERAGE(F19,G19)</f>
        <v>4650</v>
      </c>
      <c r="I19" s="174">
        <f>H19*4.2</f>
        <v>19530</v>
      </c>
      <c r="J19" s="174"/>
      <c r="K19" s="174">
        <f t="shared" si="3"/>
        <v>18210</v>
      </c>
      <c r="L19" s="217">
        <v>29500</v>
      </c>
      <c r="M19" s="286">
        <v>0.5</v>
      </c>
      <c r="N19" s="122">
        <v>1</v>
      </c>
      <c r="P19" s="122" t="s">
        <v>343</v>
      </c>
      <c r="Q19" s="171">
        <v>15</v>
      </c>
      <c r="R19" s="122">
        <v>9</v>
      </c>
      <c r="S19" s="122" t="s">
        <v>335</v>
      </c>
      <c r="T19" s="122" t="s">
        <v>336</v>
      </c>
      <c r="U19" s="122" t="s">
        <v>337</v>
      </c>
      <c r="V19" s="122">
        <v>330</v>
      </c>
      <c r="W19" s="122">
        <v>18.9</v>
      </c>
      <c r="X19" s="122">
        <v>19.8</v>
      </c>
      <c r="Y19" s="174">
        <f t="shared" si="1"/>
        <v>19350</v>
      </c>
      <c r="AA19" s="122" t="s">
        <v>344</v>
      </c>
      <c r="AB19" s="174">
        <v>8410</v>
      </c>
      <c r="AC19" s="174">
        <v>7990</v>
      </c>
      <c r="AD19" s="174">
        <f t="shared" si="5"/>
        <v>19519.61</v>
      </c>
      <c r="AE19" s="174">
        <f t="shared" si="4"/>
        <v>18544.79</v>
      </c>
      <c r="AG19" s="177" t="s">
        <v>345</v>
      </c>
      <c r="AH19" s="178">
        <v>20790</v>
      </c>
      <c r="AI19" s="177">
        <v>1</v>
      </c>
      <c r="AL19" s="183"/>
      <c r="AM19" s="122">
        <v>30.7</v>
      </c>
      <c r="AN19" s="122" t="s">
        <v>320</v>
      </c>
      <c r="AO19" s="122" t="s">
        <v>321</v>
      </c>
    </row>
    <row r="20" spans="2:41" ht="12.75">
      <c r="B20" s="122">
        <f t="shared" si="0"/>
        <v>18</v>
      </c>
      <c r="C20" s="129" t="s">
        <v>331</v>
      </c>
      <c r="D20" s="122" t="s">
        <v>332</v>
      </c>
      <c r="E20" s="122" t="s">
        <v>333</v>
      </c>
      <c r="F20" s="122">
        <v>4800</v>
      </c>
      <c r="G20" s="122">
        <v>4950</v>
      </c>
      <c r="H20" s="182">
        <f>AVERAGE(F20,G20)</f>
        <v>4875</v>
      </c>
      <c r="I20" s="174">
        <f>H20*4.2</f>
        <v>20475</v>
      </c>
      <c r="K20" s="174">
        <f t="shared" si="3"/>
        <v>19155</v>
      </c>
      <c r="L20" s="217">
        <v>29500</v>
      </c>
      <c r="M20" s="286">
        <v>0.5</v>
      </c>
      <c r="N20" s="122">
        <v>1</v>
      </c>
      <c r="P20" s="122" t="s">
        <v>350</v>
      </c>
      <c r="Q20" s="171" t="s">
        <v>263</v>
      </c>
      <c r="R20" s="122" t="s">
        <v>263</v>
      </c>
      <c r="V20" s="122">
        <v>600</v>
      </c>
      <c r="W20" s="122">
        <v>19.1</v>
      </c>
      <c r="Y20" s="174">
        <f t="shared" si="1"/>
        <v>19100</v>
      </c>
      <c r="AA20" s="122" t="s">
        <v>348</v>
      </c>
      <c r="AB20" s="174"/>
      <c r="AC20" s="174">
        <v>7990</v>
      </c>
      <c r="AD20" s="174">
        <f t="shared" si="5"/>
        <v>0</v>
      </c>
      <c r="AE20" s="174">
        <f t="shared" si="4"/>
        <v>18544.79</v>
      </c>
      <c r="AG20" s="177" t="s">
        <v>351</v>
      </c>
      <c r="AH20" s="178">
        <v>21210</v>
      </c>
      <c r="AI20" s="177">
        <v>1</v>
      </c>
      <c r="AL20" s="183"/>
      <c r="AM20" s="122">
        <v>31.1</v>
      </c>
      <c r="AN20" s="122" t="s">
        <v>320</v>
      </c>
      <c r="AO20" s="122" t="s">
        <v>321</v>
      </c>
    </row>
    <row r="21" spans="2:41" ht="12.75">
      <c r="B21" s="122">
        <f t="shared" si="0"/>
        <v>19</v>
      </c>
      <c r="C21" s="129" t="s">
        <v>340</v>
      </c>
      <c r="D21" s="122" t="s">
        <v>341</v>
      </c>
      <c r="E21" s="122" t="s">
        <v>342</v>
      </c>
      <c r="F21" s="122">
        <v>4400</v>
      </c>
      <c r="H21" s="182">
        <f>AVERAGE(F21,G21)</f>
        <v>4400</v>
      </c>
      <c r="I21" s="174">
        <f>H21*4.2</f>
        <v>18480</v>
      </c>
      <c r="J21" s="174"/>
      <c r="K21" s="174">
        <f t="shared" si="3"/>
        <v>17160</v>
      </c>
      <c r="L21" s="217">
        <v>29500</v>
      </c>
      <c r="M21" s="286">
        <v>0.5</v>
      </c>
      <c r="N21" s="122">
        <v>1</v>
      </c>
      <c r="P21" s="122" t="s">
        <v>355</v>
      </c>
      <c r="Q21" s="171" t="s">
        <v>263</v>
      </c>
      <c r="R21" s="122" t="s">
        <v>263</v>
      </c>
      <c r="S21" s="122" t="s">
        <v>335</v>
      </c>
      <c r="T21" s="122" t="s">
        <v>263</v>
      </c>
      <c r="U21" s="122" t="s">
        <v>254</v>
      </c>
      <c r="V21" s="122" t="s">
        <v>356</v>
      </c>
      <c r="W21" s="122">
        <v>18.5</v>
      </c>
      <c r="Y21" s="174">
        <f t="shared" si="1"/>
        <v>18500</v>
      </c>
      <c r="AA21" s="122" t="s">
        <v>357</v>
      </c>
      <c r="AB21" s="174"/>
      <c r="AC21" s="174">
        <v>8050</v>
      </c>
      <c r="AD21" s="174">
        <f t="shared" si="5"/>
        <v>0</v>
      </c>
      <c r="AE21" s="174">
        <f t="shared" si="4"/>
        <v>18684.050000000003</v>
      </c>
      <c r="AG21" s="177" t="s">
        <v>358</v>
      </c>
      <c r="AH21" s="178">
        <v>19320</v>
      </c>
      <c r="AI21" s="177">
        <v>1</v>
      </c>
      <c r="AL21" s="183"/>
      <c r="AM21" s="122">
        <v>31.5</v>
      </c>
      <c r="AN21" s="122" t="s">
        <v>320</v>
      </c>
      <c r="AO21" s="122" t="s">
        <v>321</v>
      </c>
    </row>
    <row r="22" spans="2:41" ht="12.75">
      <c r="B22" s="122">
        <f t="shared" si="0"/>
        <v>20</v>
      </c>
      <c r="C22" s="129" t="s">
        <v>346</v>
      </c>
      <c r="D22" s="122" t="s">
        <v>347</v>
      </c>
      <c r="E22" s="122" t="s">
        <v>348</v>
      </c>
      <c r="I22" s="174">
        <f>VLOOKUP(E22,'Calorific values'!AA$4:AE$26,5)</f>
        <v>18544.79</v>
      </c>
      <c r="J22" s="174" t="s">
        <v>349</v>
      </c>
      <c r="K22" s="174">
        <f t="shared" si="3"/>
        <v>17224.79</v>
      </c>
      <c r="L22" s="217">
        <v>29500</v>
      </c>
      <c r="M22" s="286">
        <v>0.5</v>
      </c>
      <c r="N22" s="122">
        <v>2</v>
      </c>
      <c r="P22" s="122" t="s">
        <v>362</v>
      </c>
      <c r="Q22" s="179" t="s">
        <v>363</v>
      </c>
      <c r="R22" s="122">
        <v>30</v>
      </c>
      <c r="S22" s="122" t="s">
        <v>335</v>
      </c>
      <c r="T22" s="122" t="s">
        <v>263</v>
      </c>
      <c r="U22" s="122" t="s">
        <v>309</v>
      </c>
      <c r="V22" s="122" t="s">
        <v>364</v>
      </c>
      <c r="W22" s="122">
        <v>20.4</v>
      </c>
      <c r="Y22" s="174">
        <f t="shared" si="1"/>
        <v>20400</v>
      </c>
      <c r="AA22" s="122" t="s">
        <v>365</v>
      </c>
      <c r="AB22" s="174"/>
      <c r="AC22" s="174">
        <v>8600</v>
      </c>
      <c r="AD22" s="174">
        <f t="shared" si="5"/>
        <v>0</v>
      </c>
      <c r="AE22" s="174">
        <f t="shared" si="4"/>
        <v>19960.600000000002</v>
      </c>
      <c r="AG22" s="122" t="s">
        <v>366</v>
      </c>
      <c r="AH22" s="174">
        <v>21840</v>
      </c>
      <c r="AI22" s="122">
        <v>1</v>
      </c>
      <c r="AL22" s="183" t="s">
        <v>367</v>
      </c>
      <c r="AM22" s="122">
        <v>16.1</v>
      </c>
      <c r="AN22" s="122" t="s">
        <v>368</v>
      </c>
      <c r="AO22" s="122" t="s">
        <v>247</v>
      </c>
    </row>
    <row r="23" spans="2:41" ht="12.75">
      <c r="B23" s="122">
        <f t="shared" si="0"/>
        <v>21</v>
      </c>
      <c r="C23" s="129" t="s">
        <v>352</v>
      </c>
      <c r="D23" s="122" t="s">
        <v>353</v>
      </c>
      <c r="E23" s="122" t="s">
        <v>354</v>
      </c>
      <c r="H23" s="182"/>
      <c r="I23" s="174">
        <v>18100</v>
      </c>
      <c r="J23" s="174"/>
      <c r="K23" s="174">
        <f t="shared" si="3"/>
        <v>16780</v>
      </c>
      <c r="L23" s="217">
        <v>29500</v>
      </c>
      <c r="M23" s="286">
        <v>0.5</v>
      </c>
      <c r="N23" s="122">
        <v>4</v>
      </c>
      <c r="P23" s="122" t="s">
        <v>372</v>
      </c>
      <c r="Q23" s="179" t="s">
        <v>373</v>
      </c>
      <c r="R23" s="122">
        <v>30</v>
      </c>
      <c r="S23" s="122" t="s">
        <v>335</v>
      </c>
      <c r="T23" s="122" t="s">
        <v>263</v>
      </c>
      <c r="U23" s="122" t="s">
        <v>254</v>
      </c>
      <c r="V23" s="122" t="s">
        <v>364</v>
      </c>
      <c r="W23" s="122">
        <v>18.7</v>
      </c>
      <c r="Y23" s="174">
        <f t="shared" si="1"/>
        <v>18700</v>
      </c>
      <c r="AA23" s="122" t="s">
        <v>374</v>
      </c>
      <c r="AB23" s="174"/>
      <c r="AC23" s="174">
        <v>7990</v>
      </c>
      <c r="AD23" s="174">
        <f t="shared" si="5"/>
        <v>0</v>
      </c>
      <c r="AE23" s="174">
        <f t="shared" si="4"/>
        <v>18544.79</v>
      </c>
      <c r="AG23" s="177" t="s">
        <v>375</v>
      </c>
      <c r="AH23" s="178">
        <v>20160</v>
      </c>
      <c r="AI23" s="177">
        <v>1</v>
      </c>
      <c r="AL23" s="183"/>
      <c r="AM23" s="122">
        <v>15.4</v>
      </c>
      <c r="AN23" s="122" t="s">
        <v>376</v>
      </c>
      <c r="AO23" s="122" t="s">
        <v>377</v>
      </c>
    </row>
    <row r="24" spans="2:41" ht="12.75">
      <c r="B24" s="122">
        <f t="shared" si="0"/>
        <v>22</v>
      </c>
      <c r="C24" s="129" t="s">
        <v>359</v>
      </c>
      <c r="D24" s="122" t="s">
        <v>360</v>
      </c>
      <c r="E24" s="122" t="s">
        <v>361</v>
      </c>
      <c r="F24" s="122">
        <v>5200</v>
      </c>
      <c r="H24" s="182">
        <f>AVERAGE(F24,G24)</f>
        <v>5200</v>
      </c>
      <c r="I24" s="174">
        <f>H24*4.2</f>
        <v>21840</v>
      </c>
      <c r="K24" s="174">
        <f t="shared" si="3"/>
        <v>20520</v>
      </c>
      <c r="L24" s="217">
        <v>29500</v>
      </c>
      <c r="M24" s="286">
        <v>0.5</v>
      </c>
      <c r="N24" s="122">
        <v>1</v>
      </c>
      <c r="P24" s="122" t="s">
        <v>381</v>
      </c>
      <c r="Q24" s="179" t="s">
        <v>363</v>
      </c>
      <c r="R24" s="122">
        <v>30</v>
      </c>
      <c r="S24" s="122" t="s">
        <v>335</v>
      </c>
      <c r="T24" s="122" t="s">
        <v>263</v>
      </c>
      <c r="U24" s="122" t="s">
        <v>254</v>
      </c>
      <c r="V24" s="122">
        <v>810</v>
      </c>
      <c r="W24" s="122">
        <v>19.4</v>
      </c>
      <c r="Y24" s="174">
        <f t="shared" si="1"/>
        <v>19400</v>
      </c>
      <c r="AA24" s="122" t="s">
        <v>382</v>
      </c>
      <c r="AB24" s="174">
        <v>9400</v>
      </c>
      <c r="AC24" s="174">
        <v>8410</v>
      </c>
      <c r="AD24" s="174">
        <f t="shared" si="5"/>
        <v>21817.4</v>
      </c>
      <c r="AE24" s="174">
        <f t="shared" si="4"/>
        <v>19519.61</v>
      </c>
      <c r="AG24" s="177" t="s">
        <v>383</v>
      </c>
      <c r="AH24" s="178">
        <v>20160</v>
      </c>
      <c r="AI24" s="177">
        <v>1</v>
      </c>
      <c r="AL24" s="183" t="s">
        <v>384</v>
      </c>
      <c r="AM24" s="122">
        <v>14</v>
      </c>
      <c r="AN24" s="122" t="s">
        <v>385</v>
      </c>
      <c r="AO24" s="122" t="s">
        <v>247</v>
      </c>
    </row>
    <row r="25" spans="2:41" ht="15">
      <c r="B25" s="122">
        <f t="shared" si="0"/>
        <v>23</v>
      </c>
      <c r="C25" s="129" t="s">
        <v>369</v>
      </c>
      <c r="D25" s="122" t="s">
        <v>370</v>
      </c>
      <c r="E25" s="122" t="s">
        <v>371</v>
      </c>
      <c r="I25" s="174">
        <v>19700</v>
      </c>
      <c r="K25" s="174">
        <f t="shared" si="3"/>
        <v>18380</v>
      </c>
      <c r="L25" s="217">
        <v>29500</v>
      </c>
      <c r="M25" s="286">
        <v>0.5</v>
      </c>
      <c r="N25" s="122">
        <v>4</v>
      </c>
      <c r="P25" s="122" t="s">
        <v>388</v>
      </c>
      <c r="Q25" s="171" t="s">
        <v>389</v>
      </c>
      <c r="R25" s="122">
        <v>1</v>
      </c>
      <c r="S25" s="122" t="s">
        <v>252</v>
      </c>
      <c r="T25" s="122" t="s">
        <v>253</v>
      </c>
      <c r="U25" s="122" t="s">
        <v>390</v>
      </c>
      <c r="V25" s="122" t="s">
        <v>391</v>
      </c>
      <c r="W25" s="122">
        <v>18.9</v>
      </c>
      <c r="X25" s="122">
        <v>19.9</v>
      </c>
      <c r="Y25" s="174">
        <f t="shared" si="1"/>
        <v>19400</v>
      </c>
      <c r="AA25" s="122" t="s">
        <v>392</v>
      </c>
      <c r="AB25" s="174">
        <v>8790</v>
      </c>
      <c r="AC25" s="174">
        <v>9700</v>
      </c>
      <c r="AD25" s="174">
        <f t="shared" si="5"/>
        <v>20401.59</v>
      </c>
      <c r="AE25" s="174">
        <f t="shared" si="4"/>
        <v>22513.7</v>
      </c>
      <c r="AG25" s="122" t="s">
        <v>393</v>
      </c>
      <c r="AH25" s="174">
        <v>20580</v>
      </c>
      <c r="AI25" s="122">
        <v>1</v>
      </c>
      <c r="AM25" s="122">
        <v>15.4</v>
      </c>
      <c r="AN25" s="122" t="s">
        <v>376</v>
      </c>
      <c r="AO25" s="122" t="s">
        <v>377</v>
      </c>
    </row>
    <row r="26" spans="2:41" ht="12.75">
      <c r="B26" s="122">
        <f t="shared" si="0"/>
        <v>24</v>
      </c>
      <c r="C26" s="129" t="s">
        <v>378</v>
      </c>
      <c r="D26" s="122" t="s">
        <v>379</v>
      </c>
      <c r="E26" s="122" t="s">
        <v>380</v>
      </c>
      <c r="I26" s="174">
        <v>17150</v>
      </c>
      <c r="K26" s="174">
        <f t="shared" si="3"/>
        <v>15830</v>
      </c>
      <c r="L26" s="217">
        <v>29500</v>
      </c>
      <c r="M26" s="286">
        <v>0.5</v>
      </c>
      <c r="N26" s="122">
        <v>4</v>
      </c>
      <c r="P26" s="122" t="s">
        <v>394</v>
      </c>
      <c r="Q26" s="171" t="s">
        <v>263</v>
      </c>
      <c r="R26" s="122" t="s">
        <v>263</v>
      </c>
      <c r="S26" s="122" t="s">
        <v>252</v>
      </c>
      <c r="T26" s="122" t="s">
        <v>336</v>
      </c>
      <c r="U26" s="122" t="s">
        <v>309</v>
      </c>
      <c r="V26" s="122">
        <v>520</v>
      </c>
      <c r="W26" s="122">
        <v>18.4</v>
      </c>
      <c r="Y26" s="174">
        <f t="shared" si="1"/>
        <v>18400</v>
      </c>
      <c r="AA26" s="122" t="s">
        <v>395</v>
      </c>
      <c r="AB26" s="174">
        <v>7070</v>
      </c>
      <c r="AC26" s="174">
        <v>8150</v>
      </c>
      <c r="AD26" s="174">
        <f t="shared" si="5"/>
        <v>16409.47</v>
      </c>
      <c r="AE26" s="174">
        <f t="shared" si="4"/>
        <v>18916.15</v>
      </c>
      <c r="AG26" s="122" t="s">
        <v>396</v>
      </c>
      <c r="AH26" s="174">
        <v>20160</v>
      </c>
      <c r="AI26" s="122">
        <v>1</v>
      </c>
      <c r="AL26" s="122" t="s">
        <v>397</v>
      </c>
      <c r="AM26" s="122">
        <v>13</v>
      </c>
      <c r="AN26" s="122" t="s">
        <v>398</v>
      </c>
      <c r="AO26" s="122" t="s">
        <v>266</v>
      </c>
    </row>
    <row r="27" spans="2:41" ht="12.75">
      <c r="B27" s="122">
        <f t="shared" si="0"/>
        <v>25</v>
      </c>
      <c r="C27" s="129" t="s">
        <v>386</v>
      </c>
      <c r="D27" s="122" t="s">
        <v>387</v>
      </c>
      <c r="E27" s="122" t="s">
        <v>344</v>
      </c>
      <c r="F27" s="122">
        <v>4600</v>
      </c>
      <c r="H27" s="182">
        <f>AVERAGE(F27,G27)</f>
        <v>4600</v>
      </c>
      <c r="I27" s="174">
        <f>H27*4.2</f>
        <v>19320</v>
      </c>
      <c r="J27" s="174"/>
      <c r="K27" s="174">
        <f t="shared" si="3"/>
        <v>18000</v>
      </c>
      <c r="L27" s="217">
        <v>29500</v>
      </c>
      <c r="M27" s="286">
        <v>0.5</v>
      </c>
      <c r="N27" s="122">
        <v>1</v>
      </c>
      <c r="P27" s="122" t="s">
        <v>402</v>
      </c>
      <c r="Q27" s="179" t="s">
        <v>403</v>
      </c>
      <c r="R27" s="180">
        <v>37751</v>
      </c>
      <c r="S27" s="122" t="s">
        <v>252</v>
      </c>
      <c r="T27" s="122" t="s">
        <v>336</v>
      </c>
      <c r="U27" s="122" t="s">
        <v>390</v>
      </c>
      <c r="V27" s="122" t="s">
        <v>255</v>
      </c>
      <c r="W27" s="122">
        <v>18.8</v>
      </c>
      <c r="Y27" s="174">
        <f t="shared" si="1"/>
        <v>18800</v>
      </c>
      <c r="AG27" s="177" t="s">
        <v>404</v>
      </c>
      <c r="AH27" s="178">
        <v>18480</v>
      </c>
      <c r="AI27" s="177">
        <v>1</v>
      </c>
      <c r="AM27" s="122">
        <v>14.2</v>
      </c>
      <c r="AN27" s="122" t="s">
        <v>376</v>
      </c>
      <c r="AO27" s="122" t="s">
        <v>377</v>
      </c>
    </row>
    <row r="28" spans="2:41" ht="12.75">
      <c r="B28" s="122">
        <f t="shared" si="0"/>
        <v>26</v>
      </c>
      <c r="C28" s="129" t="s">
        <v>386</v>
      </c>
      <c r="D28" s="122" t="s">
        <v>387</v>
      </c>
      <c r="E28" s="122" t="s">
        <v>344</v>
      </c>
      <c r="I28" s="174">
        <f>VLOOKUP(E28,'Calorific values'!AA$4:AE$26,5)</f>
        <v>18544.79</v>
      </c>
      <c r="J28" s="174"/>
      <c r="K28" s="174">
        <f t="shared" si="3"/>
        <v>17224.79</v>
      </c>
      <c r="L28" s="217">
        <v>29500</v>
      </c>
      <c r="M28" s="286">
        <v>0.5</v>
      </c>
      <c r="N28" s="122">
        <v>2</v>
      </c>
      <c r="P28" s="122" t="s">
        <v>408</v>
      </c>
      <c r="Q28" s="179" t="s">
        <v>409</v>
      </c>
      <c r="R28" s="180">
        <v>37812</v>
      </c>
      <c r="S28" s="122" t="s">
        <v>335</v>
      </c>
      <c r="T28" s="122" t="s">
        <v>253</v>
      </c>
      <c r="U28" s="122" t="s">
        <v>309</v>
      </c>
      <c r="V28" s="122" t="s">
        <v>410</v>
      </c>
      <c r="W28" s="122">
        <v>19</v>
      </c>
      <c r="X28" s="122">
        <v>21.1</v>
      </c>
      <c r="Y28" s="174">
        <f t="shared" si="1"/>
        <v>20050</v>
      </c>
      <c r="AG28" s="122" t="s">
        <v>411</v>
      </c>
      <c r="AH28" s="174">
        <v>21459.9</v>
      </c>
      <c r="AI28" s="122">
        <v>1</v>
      </c>
      <c r="AL28" s="122" t="s">
        <v>278</v>
      </c>
      <c r="AM28" s="122">
        <v>11.8</v>
      </c>
      <c r="AN28" s="122" t="s">
        <v>412</v>
      </c>
      <c r="AO28" s="122" t="s">
        <v>266</v>
      </c>
    </row>
    <row r="29" spans="2:41" ht="12.75">
      <c r="B29" s="122">
        <f t="shared" si="0"/>
        <v>27</v>
      </c>
      <c r="C29" s="129" t="s">
        <v>399</v>
      </c>
      <c r="D29" s="122" t="s">
        <v>400</v>
      </c>
      <c r="E29" s="122" t="s">
        <v>401</v>
      </c>
      <c r="I29" s="174">
        <v>19200</v>
      </c>
      <c r="K29" s="174">
        <f t="shared" si="3"/>
        <v>17880</v>
      </c>
      <c r="L29" s="217">
        <v>29500</v>
      </c>
      <c r="M29" s="286">
        <v>0.5</v>
      </c>
      <c r="N29" s="122">
        <v>4</v>
      </c>
      <c r="P29" s="122" t="s">
        <v>416</v>
      </c>
      <c r="Q29" s="171" t="s">
        <v>263</v>
      </c>
      <c r="R29" s="122" t="s">
        <v>263</v>
      </c>
      <c r="S29" s="122" t="s">
        <v>335</v>
      </c>
      <c r="U29" s="122" t="s">
        <v>254</v>
      </c>
      <c r="V29" s="122">
        <v>810</v>
      </c>
      <c r="W29" s="122">
        <v>19.6</v>
      </c>
      <c r="Y29" s="174">
        <f t="shared" si="1"/>
        <v>19600</v>
      </c>
      <c r="AG29" s="122" t="s">
        <v>417</v>
      </c>
      <c r="AH29" s="174">
        <v>22680</v>
      </c>
      <c r="AI29" s="122">
        <v>1</v>
      </c>
      <c r="AM29" s="122">
        <v>15.4</v>
      </c>
      <c r="AN29" s="122" t="s">
        <v>376</v>
      </c>
      <c r="AO29" s="122" t="s">
        <v>377</v>
      </c>
    </row>
    <row r="30" spans="2:38" ht="12.75">
      <c r="B30" s="122">
        <f t="shared" si="0"/>
        <v>28</v>
      </c>
      <c r="C30" s="129" t="s">
        <v>405</v>
      </c>
      <c r="D30" s="122" t="s">
        <v>406</v>
      </c>
      <c r="E30" s="122" t="s">
        <v>407</v>
      </c>
      <c r="F30" s="122">
        <v>4900</v>
      </c>
      <c r="H30" s="182">
        <f>AVERAGE(F30,G30)</f>
        <v>4900</v>
      </c>
      <c r="I30" s="174">
        <f>H30*4.2</f>
        <v>20580</v>
      </c>
      <c r="J30" s="174"/>
      <c r="K30" s="174">
        <f t="shared" si="3"/>
        <v>19260</v>
      </c>
      <c r="L30" s="217">
        <v>29500</v>
      </c>
      <c r="M30" s="286">
        <v>0.5</v>
      </c>
      <c r="N30" s="122">
        <v>1</v>
      </c>
      <c r="P30" s="122" t="s">
        <v>419</v>
      </c>
      <c r="S30" s="122" t="s">
        <v>335</v>
      </c>
      <c r="T30" s="122" t="s">
        <v>336</v>
      </c>
      <c r="U30" s="122" t="s">
        <v>309</v>
      </c>
      <c r="W30" s="122">
        <v>19</v>
      </c>
      <c r="Y30" s="174">
        <f t="shared" si="1"/>
        <v>19000</v>
      </c>
      <c r="AG30" s="122" t="s">
        <v>420</v>
      </c>
      <c r="AH30" s="174">
        <v>21056.7</v>
      </c>
      <c r="AI30" s="122">
        <v>1</v>
      </c>
      <c r="AL30" s="122" t="s">
        <v>274</v>
      </c>
    </row>
    <row r="31" spans="2:41" ht="12.75">
      <c r="B31" s="122">
        <f t="shared" si="0"/>
        <v>29</v>
      </c>
      <c r="C31" s="129" t="s">
        <v>413</v>
      </c>
      <c r="D31" s="122" t="s">
        <v>414</v>
      </c>
      <c r="E31" s="122" t="s">
        <v>415</v>
      </c>
      <c r="I31" s="174">
        <v>19350</v>
      </c>
      <c r="K31" s="174">
        <f t="shared" si="3"/>
        <v>18030</v>
      </c>
      <c r="L31" s="217">
        <v>29500</v>
      </c>
      <c r="M31" s="286">
        <v>0.5</v>
      </c>
      <c r="N31" s="122">
        <v>4</v>
      </c>
      <c r="P31" s="122" t="s">
        <v>424</v>
      </c>
      <c r="Q31" s="171" t="s">
        <v>263</v>
      </c>
      <c r="R31" s="122" t="s">
        <v>263</v>
      </c>
      <c r="S31" s="122" t="s">
        <v>335</v>
      </c>
      <c r="U31" s="122" t="s">
        <v>425</v>
      </c>
      <c r="V31" s="122">
        <v>660</v>
      </c>
      <c r="W31" s="122">
        <v>18.4</v>
      </c>
      <c r="Y31" s="174">
        <f t="shared" si="1"/>
        <v>18400</v>
      </c>
      <c r="AG31" s="122" t="s">
        <v>426</v>
      </c>
      <c r="AH31" s="174">
        <v>21000</v>
      </c>
      <c r="AI31" s="122">
        <v>1</v>
      </c>
      <c r="AL31" s="184" t="s">
        <v>427</v>
      </c>
      <c r="AM31" s="122">
        <v>22.5</v>
      </c>
      <c r="AO31" s="122" t="s">
        <v>259</v>
      </c>
    </row>
    <row r="32" spans="2:41" ht="12.75">
      <c r="B32" s="122">
        <f t="shared" si="0"/>
        <v>30</v>
      </c>
      <c r="C32" s="129" t="s">
        <v>418</v>
      </c>
      <c r="D32" s="122" t="s">
        <v>418</v>
      </c>
      <c r="I32" s="174">
        <v>19100</v>
      </c>
      <c r="K32" s="174">
        <f t="shared" si="3"/>
        <v>17780</v>
      </c>
      <c r="L32" s="217">
        <v>29500</v>
      </c>
      <c r="M32" s="286">
        <v>0.5</v>
      </c>
      <c r="N32" s="122">
        <v>4</v>
      </c>
      <c r="P32" s="122" t="s">
        <v>431</v>
      </c>
      <c r="Q32" s="171">
        <v>15</v>
      </c>
      <c r="R32" s="122">
        <v>20</v>
      </c>
      <c r="S32" s="122" t="s">
        <v>252</v>
      </c>
      <c r="T32" s="122" t="s">
        <v>253</v>
      </c>
      <c r="U32" s="122" t="s">
        <v>425</v>
      </c>
      <c r="V32" s="122" t="s">
        <v>263</v>
      </c>
      <c r="W32" s="122">
        <v>19.8</v>
      </c>
      <c r="Y32" s="174">
        <f t="shared" si="1"/>
        <v>19800</v>
      </c>
      <c r="AG32" s="122" t="s">
        <v>432</v>
      </c>
      <c r="AH32" s="174">
        <v>20126.4</v>
      </c>
      <c r="AI32" s="122">
        <v>1</v>
      </c>
      <c r="AL32" s="184" t="s">
        <v>427</v>
      </c>
      <c r="AM32" s="122">
        <v>27.3</v>
      </c>
      <c r="AN32" s="122" t="s">
        <v>433</v>
      </c>
      <c r="AO32" s="122" t="s">
        <v>247</v>
      </c>
    </row>
    <row r="33" spans="2:41" ht="12.75">
      <c r="B33" s="122">
        <f t="shared" si="0"/>
        <v>31</v>
      </c>
      <c r="C33" s="129" t="s">
        <v>421</v>
      </c>
      <c r="D33" s="122" t="s">
        <v>422</v>
      </c>
      <c r="E33" s="122" t="s">
        <v>423</v>
      </c>
      <c r="I33" s="174">
        <v>18500</v>
      </c>
      <c r="K33" s="174">
        <f t="shared" si="3"/>
        <v>17180</v>
      </c>
      <c r="L33" s="217">
        <v>29500</v>
      </c>
      <c r="M33" s="286">
        <v>0.5</v>
      </c>
      <c r="N33" s="122">
        <v>4</v>
      </c>
      <c r="P33" s="122" t="s">
        <v>437</v>
      </c>
      <c r="Q33" s="171" t="s">
        <v>263</v>
      </c>
      <c r="R33" s="122" t="s">
        <v>263</v>
      </c>
      <c r="S33" s="122" t="s">
        <v>252</v>
      </c>
      <c r="T33" s="122" t="s">
        <v>253</v>
      </c>
      <c r="U33" s="122" t="s">
        <v>425</v>
      </c>
      <c r="V33" s="122">
        <v>680</v>
      </c>
      <c r="W33" s="122">
        <v>19</v>
      </c>
      <c r="X33" s="122">
        <v>21</v>
      </c>
      <c r="Y33" s="174">
        <f t="shared" si="1"/>
        <v>20000</v>
      </c>
      <c r="AG33" s="177" t="s">
        <v>438</v>
      </c>
      <c r="AH33" s="178">
        <v>17430</v>
      </c>
      <c r="AI33" s="177">
        <v>1</v>
      </c>
      <c r="AL33" s="184" t="s">
        <v>439</v>
      </c>
      <c r="AM33" s="122">
        <v>30.1</v>
      </c>
      <c r="AN33" s="122" t="s">
        <v>440</v>
      </c>
      <c r="AO33" s="122" t="s">
        <v>247</v>
      </c>
    </row>
    <row r="34" spans="2:41" ht="12.75">
      <c r="B34" s="122">
        <f t="shared" si="0"/>
        <v>32</v>
      </c>
      <c r="C34" s="129" t="s">
        <v>428</v>
      </c>
      <c r="D34" s="122" t="s">
        <v>429</v>
      </c>
      <c r="E34" s="122" t="s">
        <v>430</v>
      </c>
      <c r="F34" s="122">
        <v>4600</v>
      </c>
      <c r="H34" s="182">
        <f>AVERAGE(F34,G34)</f>
        <v>4600</v>
      </c>
      <c r="I34" s="174">
        <f>H34*4.2</f>
        <v>19320</v>
      </c>
      <c r="K34" s="174">
        <f t="shared" si="3"/>
        <v>18000</v>
      </c>
      <c r="L34" s="217">
        <v>29500</v>
      </c>
      <c r="M34" s="286">
        <v>0.5</v>
      </c>
      <c r="N34" s="122">
        <v>1</v>
      </c>
      <c r="P34" s="122" t="s">
        <v>444</v>
      </c>
      <c r="Q34" s="179" t="s">
        <v>403</v>
      </c>
      <c r="R34" s="180">
        <v>37716</v>
      </c>
      <c r="S34" s="122" t="s">
        <v>252</v>
      </c>
      <c r="T34" s="122" t="s">
        <v>336</v>
      </c>
      <c r="U34" s="122" t="s">
        <v>309</v>
      </c>
      <c r="V34" s="122" t="s">
        <v>263</v>
      </c>
      <c r="W34" s="122">
        <v>19.3</v>
      </c>
      <c r="Y34" s="174">
        <f t="shared" si="1"/>
        <v>19300</v>
      </c>
      <c r="AG34" s="122" t="s">
        <v>445</v>
      </c>
      <c r="AH34" s="174">
        <v>17663.1</v>
      </c>
      <c r="AI34" s="122">
        <v>1</v>
      </c>
      <c r="AL34" s="184" t="s">
        <v>446</v>
      </c>
      <c r="AM34" s="122">
        <v>26.2</v>
      </c>
      <c r="AO34" s="122" t="s">
        <v>259</v>
      </c>
    </row>
    <row r="35" spans="2:41" ht="12.75">
      <c r="B35" s="122">
        <f t="shared" si="0"/>
        <v>33</v>
      </c>
      <c r="C35" s="129" t="s">
        <v>434</v>
      </c>
      <c r="D35" s="122" t="s">
        <v>435</v>
      </c>
      <c r="E35" s="122" t="s">
        <v>436</v>
      </c>
      <c r="I35" s="174">
        <v>20400</v>
      </c>
      <c r="K35" s="174">
        <f t="shared" si="3"/>
        <v>19080</v>
      </c>
      <c r="L35" s="217">
        <v>29500</v>
      </c>
      <c r="M35" s="286">
        <v>0.5</v>
      </c>
      <c r="N35" s="122">
        <v>4</v>
      </c>
      <c r="P35" s="122" t="s">
        <v>450</v>
      </c>
      <c r="Q35" s="171" t="s">
        <v>263</v>
      </c>
      <c r="R35" s="122" t="s">
        <v>263</v>
      </c>
      <c r="S35" s="122" t="s">
        <v>335</v>
      </c>
      <c r="T35" s="122" t="s">
        <v>336</v>
      </c>
      <c r="U35" s="122" t="s">
        <v>425</v>
      </c>
      <c r="V35" s="122">
        <v>750</v>
      </c>
      <c r="W35" s="122">
        <v>18.6</v>
      </c>
      <c r="Y35" s="174">
        <f t="shared" si="1"/>
        <v>18600</v>
      </c>
      <c r="AG35" s="177" t="s">
        <v>451</v>
      </c>
      <c r="AH35" s="178">
        <v>20160</v>
      </c>
      <c r="AI35" s="177">
        <v>1</v>
      </c>
      <c r="AL35" s="184" t="s">
        <v>452</v>
      </c>
      <c r="AM35" s="122">
        <v>18.4</v>
      </c>
      <c r="AO35" s="122" t="s">
        <v>259</v>
      </c>
    </row>
    <row r="36" spans="2:41" ht="12.75">
      <c r="B36" s="122">
        <f t="shared" si="0"/>
        <v>34</v>
      </c>
      <c r="C36" s="129" t="s">
        <v>441</v>
      </c>
      <c r="D36" s="122" t="s">
        <v>442</v>
      </c>
      <c r="E36" s="122" t="s">
        <v>443</v>
      </c>
      <c r="I36" s="174">
        <v>18700</v>
      </c>
      <c r="K36" s="174">
        <f t="shared" si="3"/>
        <v>17380</v>
      </c>
      <c r="L36" s="217">
        <v>29500</v>
      </c>
      <c r="M36" s="286">
        <v>0.5</v>
      </c>
      <c r="N36" s="122">
        <v>4</v>
      </c>
      <c r="P36" s="122" t="s">
        <v>456</v>
      </c>
      <c r="Q36" s="171" t="s">
        <v>263</v>
      </c>
      <c r="R36" s="122" t="s">
        <v>263</v>
      </c>
      <c r="S36" s="122" t="s">
        <v>335</v>
      </c>
      <c r="T36" s="122" t="s">
        <v>336</v>
      </c>
      <c r="U36" s="122" t="s">
        <v>425</v>
      </c>
      <c r="V36" s="122">
        <v>580</v>
      </c>
      <c r="W36" s="122">
        <v>18.1</v>
      </c>
      <c r="Y36" s="174">
        <f t="shared" si="1"/>
        <v>18100</v>
      </c>
      <c r="AG36" s="122" t="s">
        <v>457</v>
      </c>
      <c r="AH36" s="174">
        <v>18900</v>
      </c>
      <c r="AI36" s="122">
        <v>1</v>
      </c>
      <c r="AL36" s="184" t="s">
        <v>458</v>
      </c>
      <c r="AM36" s="122">
        <v>23.5</v>
      </c>
      <c r="AO36" s="122" t="s">
        <v>259</v>
      </c>
    </row>
    <row r="37" spans="2:35" ht="12.75">
      <c r="B37" s="122">
        <f t="shared" si="0"/>
        <v>35</v>
      </c>
      <c r="C37" s="129" t="s">
        <v>447</v>
      </c>
      <c r="D37" s="122" t="s">
        <v>448</v>
      </c>
      <c r="E37" s="122" t="s">
        <v>449</v>
      </c>
      <c r="I37" s="174">
        <v>19400</v>
      </c>
      <c r="K37" s="174">
        <f t="shared" si="3"/>
        <v>18080</v>
      </c>
      <c r="L37" s="217">
        <v>29500</v>
      </c>
      <c r="M37" s="286">
        <v>0.5</v>
      </c>
      <c r="N37" s="122">
        <v>4</v>
      </c>
      <c r="P37" s="122" t="s">
        <v>461</v>
      </c>
      <c r="Q37" s="171" t="s">
        <v>462</v>
      </c>
      <c r="R37" s="122" t="s">
        <v>463</v>
      </c>
      <c r="S37" s="122" t="s">
        <v>252</v>
      </c>
      <c r="T37" s="122" t="s">
        <v>253</v>
      </c>
      <c r="U37" s="122" t="s">
        <v>309</v>
      </c>
      <c r="V37" s="122">
        <v>430</v>
      </c>
      <c r="W37" s="122">
        <v>19</v>
      </c>
      <c r="X37" s="122">
        <v>21</v>
      </c>
      <c r="Y37" s="174">
        <f t="shared" si="1"/>
        <v>20000</v>
      </c>
      <c r="AG37" s="122" t="s">
        <v>464</v>
      </c>
      <c r="AH37" s="174">
        <v>20580</v>
      </c>
      <c r="AI37" s="122">
        <v>1</v>
      </c>
    </row>
    <row r="38" spans="2:35" ht="12.75">
      <c r="B38" s="122">
        <f t="shared" si="0"/>
        <v>36</v>
      </c>
      <c r="C38" s="129" t="s">
        <v>453</v>
      </c>
      <c r="D38" s="122" t="s">
        <v>454</v>
      </c>
      <c r="E38" s="122" t="s">
        <v>455</v>
      </c>
      <c r="F38" s="122">
        <v>4500</v>
      </c>
      <c r="G38" s="122">
        <v>4750</v>
      </c>
      <c r="H38" s="182">
        <f>AVERAGE(F38,G38)</f>
        <v>4625</v>
      </c>
      <c r="I38" s="174">
        <f>H38*4.2</f>
        <v>19425</v>
      </c>
      <c r="J38" s="174"/>
      <c r="K38" s="174">
        <f t="shared" si="3"/>
        <v>18105</v>
      </c>
      <c r="L38" s="217">
        <v>29500</v>
      </c>
      <c r="M38" s="286">
        <v>0.5</v>
      </c>
      <c r="N38" s="122">
        <v>1</v>
      </c>
      <c r="P38" s="122" t="s">
        <v>468</v>
      </c>
      <c r="Q38" s="171" t="s">
        <v>263</v>
      </c>
      <c r="R38" s="122" t="s">
        <v>263</v>
      </c>
      <c r="S38" s="122" t="s">
        <v>252</v>
      </c>
      <c r="T38" s="122" t="s">
        <v>253</v>
      </c>
      <c r="U38" s="122" t="s">
        <v>302</v>
      </c>
      <c r="V38" s="122">
        <v>430</v>
      </c>
      <c r="W38" s="122">
        <v>18.7</v>
      </c>
      <c r="Y38" s="174">
        <f t="shared" si="1"/>
        <v>18700</v>
      </c>
      <c r="AG38" s="122" t="s">
        <v>469</v>
      </c>
      <c r="AH38" s="174">
        <v>18916.15</v>
      </c>
      <c r="AI38" s="122">
        <v>2</v>
      </c>
    </row>
    <row r="39" spans="2:35" ht="12.75">
      <c r="B39" s="122">
        <f t="shared" si="0"/>
        <v>37</v>
      </c>
      <c r="C39" s="129" t="s">
        <v>459</v>
      </c>
      <c r="D39" s="122" t="s">
        <v>460</v>
      </c>
      <c r="E39" s="122" t="s">
        <v>338</v>
      </c>
      <c r="I39" s="174">
        <f>VLOOKUP(E39,'Calorific values'!AA$4:AE$26,5)</f>
        <v>18684.050000000003</v>
      </c>
      <c r="J39" s="174"/>
      <c r="K39" s="174">
        <f t="shared" si="3"/>
        <v>17364.050000000003</v>
      </c>
      <c r="L39" s="217">
        <v>29500</v>
      </c>
      <c r="M39" s="286">
        <v>0.5</v>
      </c>
      <c r="N39" s="122">
        <v>2</v>
      </c>
      <c r="P39" s="122" t="s">
        <v>473</v>
      </c>
      <c r="Q39" s="179" t="s">
        <v>474</v>
      </c>
      <c r="R39" s="180">
        <v>37756</v>
      </c>
      <c r="S39" s="122" t="s">
        <v>252</v>
      </c>
      <c r="T39" s="122" t="s">
        <v>253</v>
      </c>
      <c r="U39" s="122" t="s">
        <v>309</v>
      </c>
      <c r="V39" s="122" t="s">
        <v>475</v>
      </c>
      <c r="W39" s="122">
        <v>20.1</v>
      </c>
      <c r="X39" s="122">
        <v>21</v>
      </c>
      <c r="Y39" s="174">
        <f t="shared" si="1"/>
        <v>20550</v>
      </c>
      <c r="AG39" s="122" t="s">
        <v>476</v>
      </c>
      <c r="AH39" s="174">
        <v>18544.79</v>
      </c>
      <c r="AI39" s="122">
        <v>2</v>
      </c>
    </row>
    <row r="40" spans="2:35" ht="12.75">
      <c r="B40" s="122">
        <f t="shared" si="0"/>
        <v>38</v>
      </c>
      <c r="C40" s="129" t="s">
        <v>465</v>
      </c>
      <c r="D40" s="122" t="s">
        <v>466</v>
      </c>
      <c r="E40" s="122" t="s">
        <v>467</v>
      </c>
      <c r="I40" s="174">
        <v>18400</v>
      </c>
      <c r="K40" s="174">
        <f t="shared" si="3"/>
        <v>17080</v>
      </c>
      <c r="L40" s="217">
        <v>29500</v>
      </c>
      <c r="M40" s="286">
        <v>0.5</v>
      </c>
      <c r="N40" s="122">
        <v>4</v>
      </c>
      <c r="P40" s="122" t="s">
        <v>480</v>
      </c>
      <c r="Q40" s="171" t="s">
        <v>481</v>
      </c>
      <c r="R40" s="180">
        <v>37782</v>
      </c>
      <c r="S40" s="122" t="s">
        <v>252</v>
      </c>
      <c r="T40" s="122" t="s">
        <v>253</v>
      </c>
      <c r="U40" s="122" t="s">
        <v>309</v>
      </c>
      <c r="V40" s="122" t="s">
        <v>482</v>
      </c>
      <c r="W40" s="122">
        <v>19</v>
      </c>
      <c r="X40" s="122">
        <v>20.5</v>
      </c>
      <c r="Y40" s="174">
        <f t="shared" si="1"/>
        <v>19750</v>
      </c>
      <c r="AG40" s="122" t="s">
        <v>312</v>
      </c>
      <c r="AH40" s="174">
        <v>18544.79</v>
      </c>
      <c r="AI40" s="122">
        <v>2</v>
      </c>
    </row>
    <row r="41" spans="2:35" ht="12.75">
      <c r="B41" s="122">
        <f t="shared" si="0"/>
        <v>39</v>
      </c>
      <c r="C41" s="129" t="s">
        <v>470</v>
      </c>
      <c r="D41" s="122" t="s">
        <v>471</v>
      </c>
      <c r="E41" s="122" t="s">
        <v>472</v>
      </c>
      <c r="I41" s="174">
        <v>18800</v>
      </c>
      <c r="K41" s="174">
        <f t="shared" si="3"/>
        <v>17480</v>
      </c>
      <c r="L41" s="217">
        <v>29500</v>
      </c>
      <c r="M41" s="286">
        <v>0.5</v>
      </c>
      <c r="N41" s="122">
        <v>4</v>
      </c>
      <c r="P41" s="122" t="s">
        <v>486</v>
      </c>
      <c r="Q41" s="179" t="s">
        <v>487</v>
      </c>
      <c r="R41" s="122">
        <v>8</v>
      </c>
      <c r="S41" s="122" t="s">
        <v>252</v>
      </c>
      <c r="T41" s="122" t="s">
        <v>253</v>
      </c>
      <c r="U41" s="122" t="s">
        <v>488</v>
      </c>
      <c r="V41" s="122">
        <v>740</v>
      </c>
      <c r="W41" s="122">
        <v>19</v>
      </c>
      <c r="X41" s="122">
        <v>20.6</v>
      </c>
      <c r="Y41" s="174">
        <f t="shared" si="1"/>
        <v>19800</v>
      </c>
      <c r="AG41" s="122" t="s">
        <v>489</v>
      </c>
      <c r="AH41" s="174">
        <v>18684.05</v>
      </c>
      <c r="AI41" s="122">
        <v>2</v>
      </c>
    </row>
    <row r="42" spans="2:35" ht="12.75">
      <c r="B42" s="122">
        <f t="shared" si="0"/>
        <v>40</v>
      </c>
      <c r="C42" s="129" t="s">
        <v>477</v>
      </c>
      <c r="D42" s="122" t="s">
        <v>478</v>
      </c>
      <c r="E42" s="122" t="s">
        <v>479</v>
      </c>
      <c r="F42" s="122">
        <v>4950</v>
      </c>
      <c r="H42" s="182">
        <f>AVERAGE(F42,G42)</f>
        <v>4950</v>
      </c>
      <c r="I42" s="174">
        <f>H42*4.2</f>
        <v>20790</v>
      </c>
      <c r="J42" s="174"/>
      <c r="K42" s="174">
        <f t="shared" si="3"/>
        <v>19470</v>
      </c>
      <c r="L42" s="217">
        <v>29500</v>
      </c>
      <c r="M42" s="286">
        <v>0.5</v>
      </c>
      <c r="N42" s="122">
        <v>1</v>
      </c>
      <c r="P42" s="122" t="s">
        <v>493</v>
      </c>
      <c r="Q42" s="171">
        <v>15</v>
      </c>
      <c r="R42" s="122">
        <v>5</v>
      </c>
      <c r="S42" s="122" t="s">
        <v>335</v>
      </c>
      <c r="V42" s="122" t="s">
        <v>263</v>
      </c>
      <c r="W42" s="122">
        <v>18.4</v>
      </c>
      <c r="Y42" s="174">
        <f t="shared" si="1"/>
        <v>18400</v>
      </c>
      <c r="AG42" s="122" t="s">
        <v>494</v>
      </c>
      <c r="AH42" s="174">
        <v>18916.15</v>
      </c>
      <c r="AI42" s="122">
        <v>2</v>
      </c>
    </row>
    <row r="43" spans="2:35" ht="12.75">
      <c r="B43" s="122">
        <f t="shared" si="0"/>
        <v>41</v>
      </c>
      <c r="C43" s="129" t="s">
        <v>483</v>
      </c>
      <c r="D43" s="122" t="s">
        <v>484</v>
      </c>
      <c r="E43" s="122" t="s">
        <v>485</v>
      </c>
      <c r="I43" s="174">
        <v>19600</v>
      </c>
      <c r="K43" s="174">
        <f t="shared" si="3"/>
        <v>18280</v>
      </c>
      <c r="L43" s="217">
        <v>29500</v>
      </c>
      <c r="M43" s="286">
        <v>0.5</v>
      </c>
      <c r="N43" s="122">
        <v>4</v>
      </c>
      <c r="P43" s="122" t="s">
        <v>498</v>
      </c>
      <c r="Q43" s="171">
        <v>10</v>
      </c>
      <c r="R43" s="122">
        <v>15</v>
      </c>
      <c r="S43" s="122" t="s">
        <v>335</v>
      </c>
      <c r="T43" s="122" t="s">
        <v>336</v>
      </c>
      <c r="U43" s="122" t="s">
        <v>425</v>
      </c>
      <c r="V43" s="122">
        <v>590</v>
      </c>
      <c r="W43" s="122">
        <v>19.3</v>
      </c>
      <c r="Y43" s="174">
        <f t="shared" si="1"/>
        <v>19300</v>
      </c>
      <c r="AG43" s="122" t="s">
        <v>499</v>
      </c>
      <c r="AH43" s="174">
        <v>19960.6</v>
      </c>
      <c r="AI43" s="122">
        <v>2</v>
      </c>
    </row>
    <row r="44" spans="2:35" ht="15">
      <c r="B44" s="122">
        <f t="shared" si="0"/>
        <v>42</v>
      </c>
      <c r="C44" s="129" t="s">
        <v>490</v>
      </c>
      <c r="D44" s="122" t="s">
        <v>491</v>
      </c>
      <c r="E44" s="122" t="s">
        <v>492</v>
      </c>
      <c r="I44" s="174">
        <v>19000</v>
      </c>
      <c r="K44" s="174">
        <f t="shared" si="3"/>
        <v>17680</v>
      </c>
      <c r="L44" s="217">
        <v>29500</v>
      </c>
      <c r="M44" s="286">
        <v>0.5</v>
      </c>
      <c r="N44" s="122">
        <v>4</v>
      </c>
      <c r="P44" s="122" t="s">
        <v>503</v>
      </c>
      <c r="Q44" s="171" t="s">
        <v>504</v>
      </c>
      <c r="R44" s="122" t="s">
        <v>505</v>
      </c>
      <c r="S44" s="122" t="s">
        <v>252</v>
      </c>
      <c r="T44" s="122" t="s">
        <v>253</v>
      </c>
      <c r="U44" s="122" t="s">
        <v>390</v>
      </c>
      <c r="V44" s="122" t="s">
        <v>506</v>
      </c>
      <c r="W44" s="122">
        <v>17.5</v>
      </c>
      <c r="X44" s="122">
        <v>19.5</v>
      </c>
      <c r="Y44" s="174">
        <f t="shared" si="1"/>
        <v>18500</v>
      </c>
      <c r="AG44" s="122" t="s">
        <v>507</v>
      </c>
      <c r="AH44" s="174">
        <v>18684.05</v>
      </c>
      <c r="AI44" s="122">
        <v>2</v>
      </c>
    </row>
    <row r="45" spans="2:35" ht="12.75">
      <c r="B45" s="122">
        <f t="shared" si="0"/>
        <v>43</v>
      </c>
      <c r="C45" s="129" t="s">
        <v>495</v>
      </c>
      <c r="D45" s="122" t="s">
        <v>496</v>
      </c>
      <c r="E45" s="122" t="s">
        <v>497</v>
      </c>
      <c r="I45" s="174">
        <v>18400</v>
      </c>
      <c r="K45" s="174">
        <f t="shared" si="3"/>
        <v>17080</v>
      </c>
      <c r="L45" s="217">
        <v>29500</v>
      </c>
      <c r="M45" s="286">
        <v>0.5</v>
      </c>
      <c r="N45" s="122">
        <v>4</v>
      </c>
      <c r="P45" s="122" t="s">
        <v>511</v>
      </c>
      <c r="Q45" s="171">
        <v>8</v>
      </c>
      <c r="R45" s="122" t="s">
        <v>263</v>
      </c>
      <c r="S45" s="122" t="s">
        <v>335</v>
      </c>
      <c r="T45" s="122" t="s">
        <v>336</v>
      </c>
      <c r="U45" s="122" t="s">
        <v>254</v>
      </c>
      <c r="V45" s="122">
        <v>800</v>
      </c>
      <c r="W45" s="122">
        <v>19</v>
      </c>
      <c r="X45" s="122">
        <v>20.5</v>
      </c>
      <c r="Y45" s="174">
        <f t="shared" si="1"/>
        <v>19750</v>
      </c>
      <c r="AG45" s="122" t="s">
        <v>512</v>
      </c>
      <c r="AH45" s="174">
        <v>18544.79</v>
      </c>
      <c r="AI45" s="122">
        <v>2</v>
      </c>
    </row>
    <row r="46" spans="2:35" ht="12.75">
      <c r="B46" s="122">
        <f t="shared" si="0"/>
        <v>44</v>
      </c>
      <c r="C46" s="129" t="s">
        <v>500</v>
      </c>
      <c r="D46" s="122" t="s">
        <v>501</v>
      </c>
      <c r="E46" s="122" t="s">
        <v>502</v>
      </c>
      <c r="I46" s="174">
        <v>19800</v>
      </c>
      <c r="K46" s="174">
        <f t="shared" si="3"/>
        <v>18480</v>
      </c>
      <c r="L46" s="217">
        <v>29500</v>
      </c>
      <c r="M46" s="286">
        <v>0.5</v>
      </c>
      <c r="N46" s="122">
        <v>4</v>
      </c>
      <c r="P46" s="122" t="s">
        <v>516</v>
      </c>
      <c r="Q46" s="179" t="s">
        <v>363</v>
      </c>
      <c r="R46" s="122">
        <v>30</v>
      </c>
      <c r="S46" s="122" t="s">
        <v>335</v>
      </c>
      <c r="T46" s="122" t="s">
        <v>253</v>
      </c>
      <c r="U46" s="122" t="s">
        <v>309</v>
      </c>
      <c r="V46" s="122" t="s">
        <v>364</v>
      </c>
      <c r="W46" s="122">
        <v>20.1</v>
      </c>
      <c r="Y46" s="174">
        <f t="shared" si="1"/>
        <v>20100</v>
      </c>
      <c r="AG46" s="122" t="s">
        <v>517</v>
      </c>
      <c r="AH46" s="174">
        <v>20424.8</v>
      </c>
      <c r="AI46" s="122">
        <v>2</v>
      </c>
    </row>
    <row r="47" spans="2:35" ht="12.75">
      <c r="B47" s="122">
        <f t="shared" si="0"/>
        <v>45</v>
      </c>
      <c r="C47" s="129" t="s">
        <v>508</v>
      </c>
      <c r="D47" s="122" t="s">
        <v>509</v>
      </c>
      <c r="E47" s="122" t="s">
        <v>510</v>
      </c>
      <c r="F47" s="122">
        <v>4900</v>
      </c>
      <c r="G47" s="122">
        <v>5200</v>
      </c>
      <c r="H47" s="182">
        <f>AVERAGE(F47,G47)</f>
        <v>5050</v>
      </c>
      <c r="I47" s="174">
        <f>H47*4.2</f>
        <v>21210</v>
      </c>
      <c r="J47" s="174"/>
      <c r="K47" s="174">
        <f t="shared" si="3"/>
        <v>19890</v>
      </c>
      <c r="L47" s="217">
        <v>29500</v>
      </c>
      <c r="M47" s="286">
        <v>0.5</v>
      </c>
      <c r="N47" s="122">
        <v>1</v>
      </c>
      <c r="P47" s="122" t="s">
        <v>521</v>
      </c>
      <c r="Q47" s="179" t="s">
        <v>363</v>
      </c>
      <c r="R47" s="122">
        <v>30</v>
      </c>
      <c r="S47" s="122" t="s">
        <v>335</v>
      </c>
      <c r="T47" s="122" t="s">
        <v>253</v>
      </c>
      <c r="U47" s="122" t="s">
        <v>309</v>
      </c>
      <c r="V47" s="122" t="s">
        <v>364</v>
      </c>
      <c r="W47" s="122">
        <v>21.3</v>
      </c>
      <c r="Y47" s="174">
        <f t="shared" si="1"/>
        <v>21300</v>
      </c>
      <c r="AG47" s="122" t="s">
        <v>522</v>
      </c>
      <c r="AH47" s="174">
        <v>20633.69</v>
      </c>
      <c r="AI47" s="122">
        <v>2</v>
      </c>
    </row>
    <row r="48" spans="2:35" ht="12.75">
      <c r="B48" s="122">
        <f t="shared" si="0"/>
        <v>46</v>
      </c>
      <c r="C48" s="129" t="s">
        <v>513</v>
      </c>
      <c r="D48" s="122" t="s">
        <v>514</v>
      </c>
      <c r="E48" s="122" t="s">
        <v>515</v>
      </c>
      <c r="F48" s="122">
        <v>4600</v>
      </c>
      <c r="H48" s="182">
        <f>AVERAGE(F48,G48)</f>
        <v>4600</v>
      </c>
      <c r="I48" s="174">
        <f>H48*4.2</f>
        <v>19320</v>
      </c>
      <c r="J48" s="174"/>
      <c r="K48" s="174">
        <f t="shared" si="3"/>
        <v>18000</v>
      </c>
      <c r="L48" s="217">
        <v>29500</v>
      </c>
      <c r="M48" s="286">
        <v>0.5</v>
      </c>
      <c r="N48" s="122">
        <v>1</v>
      </c>
      <c r="P48" s="122" t="s">
        <v>526</v>
      </c>
      <c r="Q48" s="179" t="s">
        <v>527</v>
      </c>
      <c r="R48" s="122">
        <v>8</v>
      </c>
      <c r="S48" s="122" t="s">
        <v>335</v>
      </c>
      <c r="V48" s="122" t="s">
        <v>263</v>
      </c>
      <c r="W48" s="122">
        <v>20</v>
      </c>
      <c r="Y48" s="174">
        <f t="shared" si="1"/>
        <v>20000</v>
      </c>
      <c r="AG48" s="122" t="s">
        <v>528</v>
      </c>
      <c r="AH48" s="174">
        <v>18916.15</v>
      </c>
      <c r="AI48" s="122">
        <v>2</v>
      </c>
    </row>
    <row r="49" spans="2:35" ht="12.75">
      <c r="B49" s="122">
        <f t="shared" si="0"/>
        <v>47</v>
      </c>
      <c r="C49" s="129" t="s">
        <v>518</v>
      </c>
      <c r="D49" s="122" t="s">
        <v>519</v>
      </c>
      <c r="E49" s="122" t="s">
        <v>520</v>
      </c>
      <c r="I49" s="174">
        <v>18600</v>
      </c>
      <c r="K49" s="174">
        <f t="shared" si="3"/>
        <v>17280</v>
      </c>
      <c r="L49" s="217">
        <v>29500</v>
      </c>
      <c r="M49" s="286">
        <v>0.5</v>
      </c>
      <c r="N49" s="122">
        <v>4</v>
      </c>
      <c r="P49" s="122" t="s">
        <v>533</v>
      </c>
      <c r="Q49" s="171">
        <v>10</v>
      </c>
      <c r="R49" s="122">
        <v>25</v>
      </c>
      <c r="S49" s="122" t="s">
        <v>335</v>
      </c>
      <c r="V49" s="122" t="s">
        <v>263</v>
      </c>
      <c r="W49" s="122">
        <v>18.7</v>
      </c>
      <c r="Y49" s="174">
        <f t="shared" si="1"/>
        <v>18700</v>
      </c>
      <c r="AG49" s="122" t="s">
        <v>534</v>
      </c>
      <c r="AH49" s="174">
        <v>18684.05</v>
      </c>
      <c r="AI49" s="122">
        <v>2</v>
      </c>
    </row>
    <row r="50" spans="2:35" ht="15">
      <c r="B50" s="122">
        <f t="shared" si="0"/>
        <v>48</v>
      </c>
      <c r="C50" s="129" t="s">
        <v>523</v>
      </c>
      <c r="D50" s="122" t="s">
        <v>524</v>
      </c>
      <c r="E50" s="122" t="s">
        <v>525</v>
      </c>
      <c r="I50" s="174">
        <v>18100</v>
      </c>
      <c r="K50" s="174">
        <f t="shared" si="3"/>
        <v>16780</v>
      </c>
      <c r="L50" s="217">
        <v>29500</v>
      </c>
      <c r="M50" s="286">
        <v>0.5</v>
      </c>
      <c r="N50" s="122">
        <v>4</v>
      </c>
      <c r="P50" s="122" t="s">
        <v>538</v>
      </c>
      <c r="Q50" s="171" t="s">
        <v>539</v>
      </c>
      <c r="R50" s="122" t="s">
        <v>540</v>
      </c>
      <c r="S50" s="122" t="s">
        <v>252</v>
      </c>
      <c r="T50" s="122" t="s">
        <v>253</v>
      </c>
      <c r="U50" s="122" t="s">
        <v>254</v>
      </c>
      <c r="V50" s="122">
        <v>420</v>
      </c>
      <c r="W50" s="122">
        <v>19.3</v>
      </c>
      <c r="Y50" s="174">
        <f t="shared" si="1"/>
        <v>19300</v>
      </c>
      <c r="AG50" s="122" t="s">
        <v>541</v>
      </c>
      <c r="AH50" s="174">
        <v>22513.7</v>
      </c>
      <c r="AI50" s="122">
        <v>2</v>
      </c>
    </row>
    <row r="51" spans="2:35" ht="12.75">
      <c r="B51" s="122">
        <f t="shared" si="0"/>
        <v>49</v>
      </c>
      <c r="C51" s="129" t="s">
        <v>529</v>
      </c>
      <c r="D51" s="122" t="s">
        <v>530</v>
      </c>
      <c r="E51" s="122" t="s">
        <v>531</v>
      </c>
      <c r="F51" s="122">
        <v>5200</v>
      </c>
      <c r="H51" s="182">
        <f>AVERAGE(F51,G51)</f>
        <v>5200</v>
      </c>
      <c r="I51" s="174">
        <f>H51*4.2</f>
        <v>21840</v>
      </c>
      <c r="J51" s="174" t="s">
        <v>532</v>
      </c>
      <c r="K51" s="174">
        <f t="shared" si="3"/>
        <v>20520</v>
      </c>
      <c r="L51" s="217">
        <v>29500</v>
      </c>
      <c r="M51" s="286">
        <v>0.5</v>
      </c>
      <c r="N51" s="122">
        <v>1</v>
      </c>
      <c r="P51" s="122" t="s">
        <v>545</v>
      </c>
      <c r="Q51" s="171">
        <v>17</v>
      </c>
      <c r="R51" s="122">
        <v>25</v>
      </c>
      <c r="S51" s="122" t="s">
        <v>252</v>
      </c>
      <c r="T51" s="122" t="s">
        <v>336</v>
      </c>
      <c r="U51" s="122" t="s">
        <v>425</v>
      </c>
      <c r="V51" s="122" t="s">
        <v>263</v>
      </c>
      <c r="W51" s="122">
        <v>20.7</v>
      </c>
      <c r="Y51" s="174">
        <f t="shared" si="1"/>
        <v>20700</v>
      </c>
      <c r="AG51" s="122" t="s">
        <v>546</v>
      </c>
      <c r="AH51" s="174">
        <v>19519.61</v>
      </c>
      <c r="AI51" s="122">
        <v>2</v>
      </c>
    </row>
    <row r="52" spans="2:35" ht="12.75">
      <c r="B52" s="122">
        <f t="shared" si="0"/>
        <v>50</v>
      </c>
      <c r="C52" s="129" t="s">
        <v>535</v>
      </c>
      <c r="D52" s="122" t="s">
        <v>536</v>
      </c>
      <c r="E52" s="122" t="s">
        <v>537</v>
      </c>
      <c r="F52" s="122">
        <v>4800</v>
      </c>
      <c r="H52" s="182">
        <f>AVERAGE(F52,G52)</f>
        <v>4800</v>
      </c>
      <c r="I52" s="174">
        <f>H52*4.2</f>
        <v>20160</v>
      </c>
      <c r="K52" s="174">
        <f t="shared" si="3"/>
        <v>18840</v>
      </c>
      <c r="L52" s="217">
        <v>29500</v>
      </c>
      <c r="M52" s="286">
        <v>0.5</v>
      </c>
      <c r="N52" s="122">
        <v>1</v>
      </c>
      <c r="P52" s="122" t="s">
        <v>550</v>
      </c>
      <c r="Q52" s="171" t="s">
        <v>263</v>
      </c>
      <c r="R52" s="122" t="s">
        <v>263</v>
      </c>
      <c r="S52" s="122" t="s">
        <v>252</v>
      </c>
      <c r="T52" s="122" t="s">
        <v>336</v>
      </c>
      <c r="U52" s="122" t="s">
        <v>254</v>
      </c>
      <c r="V52" s="122">
        <v>770</v>
      </c>
      <c r="W52" s="122">
        <v>20.1</v>
      </c>
      <c r="X52" s="122">
        <v>20.5</v>
      </c>
      <c r="Y52" s="174">
        <f t="shared" si="1"/>
        <v>20300</v>
      </c>
      <c r="AG52" s="122" t="s">
        <v>551</v>
      </c>
      <c r="AH52" s="174">
        <v>19519.61</v>
      </c>
      <c r="AI52" s="122">
        <v>2</v>
      </c>
    </row>
    <row r="53" spans="2:35" ht="12.75">
      <c r="B53" s="122">
        <f t="shared" si="0"/>
        <v>51</v>
      </c>
      <c r="C53" s="129" t="s">
        <v>542</v>
      </c>
      <c r="D53" s="122" t="s">
        <v>543</v>
      </c>
      <c r="E53" s="122" t="s">
        <v>544</v>
      </c>
      <c r="I53" s="174">
        <v>18700</v>
      </c>
      <c r="K53" s="174">
        <f t="shared" si="3"/>
        <v>17380</v>
      </c>
      <c r="L53" s="217">
        <v>29500</v>
      </c>
      <c r="M53" s="286">
        <v>0.5</v>
      </c>
      <c r="N53" s="122">
        <v>4</v>
      </c>
      <c r="P53" s="122" t="s">
        <v>555</v>
      </c>
      <c r="Q53" s="171" t="s">
        <v>263</v>
      </c>
      <c r="R53" s="122" t="s">
        <v>263</v>
      </c>
      <c r="S53" s="122" t="s">
        <v>335</v>
      </c>
      <c r="T53" s="122" t="s">
        <v>336</v>
      </c>
      <c r="V53" s="122">
        <v>560</v>
      </c>
      <c r="W53" s="122">
        <v>16.3</v>
      </c>
      <c r="Y53" s="174">
        <f t="shared" si="1"/>
        <v>16300</v>
      </c>
      <c r="AG53" s="122" t="s">
        <v>556</v>
      </c>
      <c r="AH53" s="174">
        <v>18962.57</v>
      </c>
      <c r="AI53" s="122">
        <v>2</v>
      </c>
    </row>
    <row r="54" spans="2:35" ht="12.75">
      <c r="B54" s="122">
        <f t="shared" si="0"/>
        <v>52</v>
      </c>
      <c r="C54" s="129" t="s">
        <v>547</v>
      </c>
      <c r="D54" s="122" t="s">
        <v>548</v>
      </c>
      <c r="E54" s="122" t="s">
        <v>549</v>
      </c>
      <c r="F54" s="122">
        <v>4800</v>
      </c>
      <c r="H54" s="182">
        <f>AVERAGE(F54,G54)</f>
        <v>4800</v>
      </c>
      <c r="I54" s="174">
        <f>H54*4.2</f>
        <v>20160</v>
      </c>
      <c r="J54" s="174"/>
      <c r="K54" s="174">
        <f t="shared" si="3"/>
        <v>18840</v>
      </c>
      <c r="L54" s="217">
        <v>29500</v>
      </c>
      <c r="M54" s="286">
        <v>0.5</v>
      </c>
      <c r="N54" s="122">
        <v>1</v>
      </c>
      <c r="P54" s="122" t="s">
        <v>559</v>
      </c>
      <c r="S54" s="122" t="s">
        <v>335</v>
      </c>
      <c r="T54" s="122" t="s">
        <v>336</v>
      </c>
      <c r="V54" s="122">
        <v>580</v>
      </c>
      <c r="W54" s="122">
        <v>15.4</v>
      </c>
      <c r="Y54" s="174">
        <f t="shared" si="1"/>
        <v>15400</v>
      </c>
      <c r="AG54" s="177" t="s">
        <v>250</v>
      </c>
      <c r="AH54" s="178">
        <v>19000</v>
      </c>
      <c r="AI54" s="177">
        <v>4</v>
      </c>
    </row>
    <row r="55" spans="2:35" ht="12.75">
      <c r="B55" s="122">
        <f t="shared" si="0"/>
        <v>53</v>
      </c>
      <c r="C55" s="129" t="s">
        <v>552</v>
      </c>
      <c r="D55" s="122" t="s">
        <v>553</v>
      </c>
      <c r="E55" s="122" t="s">
        <v>554</v>
      </c>
      <c r="I55" s="174">
        <v>19750</v>
      </c>
      <c r="K55" s="174">
        <f t="shared" si="3"/>
        <v>18430</v>
      </c>
      <c r="L55" s="217">
        <v>29500</v>
      </c>
      <c r="M55" s="286">
        <v>0.5</v>
      </c>
      <c r="N55" s="122">
        <v>4</v>
      </c>
      <c r="P55" s="122" t="s">
        <v>563</v>
      </c>
      <c r="R55" s="122" t="s">
        <v>263</v>
      </c>
      <c r="S55" s="122" t="s">
        <v>335</v>
      </c>
      <c r="T55" s="122" t="s">
        <v>336</v>
      </c>
      <c r="V55" s="122">
        <v>690</v>
      </c>
      <c r="W55" s="122">
        <v>18.3</v>
      </c>
      <c r="Y55" s="174">
        <f t="shared" si="1"/>
        <v>18300</v>
      </c>
      <c r="AG55" s="177" t="s">
        <v>262</v>
      </c>
      <c r="AH55" s="178">
        <v>18700</v>
      </c>
      <c r="AI55" s="177">
        <v>4</v>
      </c>
    </row>
    <row r="56" spans="2:35" ht="12.75">
      <c r="B56" s="122">
        <f t="shared" si="0"/>
        <v>54</v>
      </c>
      <c r="C56" s="129" t="s">
        <v>557</v>
      </c>
      <c r="D56" s="122" t="s">
        <v>558</v>
      </c>
      <c r="E56" s="122" t="s">
        <v>269</v>
      </c>
      <c r="I56" s="174">
        <f>VLOOKUP(E56,'Calorific values'!AA$4:AE$26,5)</f>
        <v>18916.15</v>
      </c>
      <c r="J56" s="174"/>
      <c r="K56" s="174">
        <f t="shared" si="3"/>
        <v>17596.15</v>
      </c>
      <c r="L56" s="217">
        <v>29500</v>
      </c>
      <c r="M56" s="286">
        <v>0.5</v>
      </c>
      <c r="N56" s="122">
        <v>2</v>
      </c>
      <c r="Q56" s="179"/>
      <c r="R56" s="180"/>
      <c r="AG56" s="122" t="s">
        <v>268</v>
      </c>
      <c r="AH56" s="174">
        <v>19200</v>
      </c>
      <c r="AI56" s="122">
        <v>4</v>
      </c>
    </row>
    <row r="57" spans="2:35" ht="12.75">
      <c r="B57" s="122">
        <f t="shared" si="0"/>
        <v>55</v>
      </c>
      <c r="C57" s="129" t="s">
        <v>560</v>
      </c>
      <c r="D57" s="122" t="s">
        <v>561</v>
      </c>
      <c r="E57" s="122" t="s">
        <v>562</v>
      </c>
      <c r="I57" s="174">
        <v>18400</v>
      </c>
      <c r="K57" s="174">
        <f t="shared" si="3"/>
        <v>17080</v>
      </c>
      <c r="L57" s="217">
        <v>29500</v>
      </c>
      <c r="M57" s="286">
        <v>0.5</v>
      </c>
      <c r="N57" s="122">
        <v>4</v>
      </c>
      <c r="P57" s="122" t="s">
        <v>568</v>
      </c>
      <c r="AG57" s="122" t="s">
        <v>286</v>
      </c>
      <c r="AH57" s="174">
        <v>21800</v>
      </c>
      <c r="AI57" s="122">
        <v>4</v>
      </c>
    </row>
    <row r="58" spans="2:35" ht="12.75">
      <c r="B58" s="122">
        <f t="shared" si="0"/>
        <v>56</v>
      </c>
      <c r="C58" s="129" t="s">
        <v>486</v>
      </c>
      <c r="D58" s="122" t="s">
        <v>486</v>
      </c>
      <c r="E58" s="122" t="s">
        <v>564</v>
      </c>
      <c r="F58" s="122">
        <v>4900</v>
      </c>
      <c r="H58" s="182">
        <f>AVERAGE(F58,G58)</f>
        <v>4900</v>
      </c>
      <c r="I58" s="174">
        <f>H58*4.2</f>
        <v>20580</v>
      </c>
      <c r="J58" s="174"/>
      <c r="K58" s="174">
        <f t="shared" si="3"/>
        <v>19260</v>
      </c>
      <c r="L58" s="217">
        <v>29500</v>
      </c>
      <c r="M58" s="286">
        <v>0.5</v>
      </c>
      <c r="N58" s="122">
        <v>1</v>
      </c>
      <c r="P58" s="122" t="s">
        <v>572</v>
      </c>
      <c r="AG58" s="177" t="s">
        <v>292</v>
      </c>
      <c r="AH58" s="178">
        <v>18000</v>
      </c>
      <c r="AI58" s="177">
        <v>4</v>
      </c>
    </row>
    <row r="59" spans="2:35" ht="12.75">
      <c r="B59" s="122">
        <f t="shared" si="0"/>
        <v>57</v>
      </c>
      <c r="C59" s="129" t="s">
        <v>565</v>
      </c>
      <c r="D59" s="185" t="s">
        <v>566</v>
      </c>
      <c r="E59" s="185" t="s">
        <v>567</v>
      </c>
      <c r="F59" s="185">
        <v>4800</v>
      </c>
      <c r="G59" s="185"/>
      <c r="H59" s="186">
        <f>AVERAGE(F59,G59)</f>
        <v>4800</v>
      </c>
      <c r="I59" s="187">
        <f>H59*4.2</f>
        <v>20160</v>
      </c>
      <c r="J59" s="174"/>
      <c r="K59" s="174">
        <f t="shared" si="3"/>
        <v>18840</v>
      </c>
      <c r="L59" s="217">
        <v>29500</v>
      </c>
      <c r="M59" s="286">
        <v>0.5</v>
      </c>
      <c r="N59" s="122">
        <v>1</v>
      </c>
      <c r="P59" s="122" t="s">
        <v>576</v>
      </c>
      <c r="AG59" s="177" t="s">
        <v>300</v>
      </c>
      <c r="AH59" s="178">
        <v>18100</v>
      </c>
      <c r="AI59" s="177">
        <v>4</v>
      </c>
    </row>
    <row r="60" spans="2:35" ht="12.75">
      <c r="B60" s="122">
        <f t="shared" si="0"/>
        <v>58</v>
      </c>
      <c r="C60" s="129" t="s">
        <v>569</v>
      </c>
      <c r="D60" s="122" t="s">
        <v>570</v>
      </c>
      <c r="E60" s="122" t="s">
        <v>571</v>
      </c>
      <c r="I60" s="174">
        <v>19300</v>
      </c>
      <c r="K60" s="174">
        <f t="shared" si="3"/>
        <v>17980</v>
      </c>
      <c r="L60" s="217">
        <v>29500</v>
      </c>
      <c r="M60" s="286">
        <v>0.5</v>
      </c>
      <c r="N60" s="122">
        <v>4</v>
      </c>
      <c r="P60" s="122" t="s">
        <v>580</v>
      </c>
      <c r="AG60" s="122" t="s">
        <v>308</v>
      </c>
      <c r="AH60" s="174">
        <v>21800</v>
      </c>
      <c r="AI60" s="122">
        <v>4</v>
      </c>
    </row>
    <row r="61" spans="2:35" ht="12.75">
      <c r="B61" s="122">
        <f t="shared" si="0"/>
        <v>59</v>
      </c>
      <c r="C61" s="129" t="s">
        <v>573</v>
      </c>
      <c r="D61" s="122" t="s">
        <v>574</v>
      </c>
      <c r="E61" s="122" t="s">
        <v>575</v>
      </c>
      <c r="F61" s="122">
        <v>4200</v>
      </c>
      <c r="G61" s="122">
        <v>4600</v>
      </c>
      <c r="H61" s="182">
        <f>AVERAGE(F61,G61)</f>
        <v>4400</v>
      </c>
      <c r="I61" s="174">
        <f>H61*4.2</f>
        <v>18480</v>
      </c>
      <c r="K61" s="174">
        <f t="shared" si="3"/>
        <v>17160</v>
      </c>
      <c r="L61" s="217">
        <v>29500</v>
      </c>
      <c r="M61" s="286">
        <v>0.5</v>
      </c>
      <c r="N61" s="122">
        <v>1</v>
      </c>
      <c r="P61" s="122" t="s">
        <v>583</v>
      </c>
      <c r="AG61" s="122" t="s">
        <v>317</v>
      </c>
      <c r="AH61" s="174">
        <v>19700</v>
      </c>
      <c r="AI61" s="122">
        <v>4</v>
      </c>
    </row>
    <row r="62" spans="2:35" ht="12.75">
      <c r="B62" s="122">
        <f t="shared" si="0"/>
        <v>60</v>
      </c>
      <c r="C62" s="129" t="s">
        <v>577</v>
      </c>
      <c r="D62" s="122" t="s">
        <v>578</v>
      </c>
      <c r="E62" s="122" t="s">
        <v>579</v>
      </c>
      <c r="F62" s="122">
        <v>5043</v>
      </c>
      <c r="G62" s="122">
        <v>5176</v>
      </c>
      <c r="H62" s="182">
        <f>AVERAGE(F62,G62)</f>
        <v>5109.5</v>
      </c>
      <c r="I62" s="174">
        <f>H62*4.2</f>
        <v>21459.9</v>
      </c>
      <c r="K62" s="174">
        <f t="shared" si="3"/>
        <v>20139.9</v>
      </c>
      <c r="L62" s="217">
        <v>29500</v>
      </c>
      <c r="M62" s="286">
        <v>0.5</v>
      </c>
      <c r="N62" s="122">
        <v>1</v>
      </c>
      <c r="P62" s="122" t="s">
        <v>586</v>
      </c>
      <c r="AG62" s="122" t="s">
        <v>325</v>
      </c>
      <c r="AH62" s="174">
        <v>17150</v>
      </c>
      <c r="AI62" s="122">
        <v>4</v>
      </c>
    </row>
    <row r="63" spans="2:35" ht="12.75">
      <c r="B63" s="122">
        <f t="shared" si="0"/>
        <v>61</v>
      </c>
      <c r="C63" s="129" t="s">
        <v>581</v>
      </c>
      <c r="D63" s="122" t="s">
        <v>582</v>
      </c>
      <c r="E63" s="122" t="s">
        <v>365</v>
      </c>
      <c r="I63" s="174">
        <f>VLOOKUP(E63,'Calorific values'!AA$4:AE$26,5)</f>
        <v>19960.600000000002</v>
      </c>
      <c r="J63" s="174"/>
      <c r="K63" s="174">
        <f t="shared" si="3"/>
        <v>18640.600000000002</v>
      </c>
      <c r="L63" s="217">
        <v>29500</v>
      </c>
      <c r="M63" s="286">
        <v>0.5</v>
      </c>
      <c r="N63" s="122">
        <v>2</v>
      </c>
      <c r="P63" s="122" t="s">
        <v>590</v>
      </c>
      <c r="AG63" s="122" t="s">
        <v>334</v>
      </c>
      <c r="AH63" s="174">
        <v>19200</v>
      </c>
      <c r="AI63" s="122">
        <v>4</v>
      </c>
    </row>
    <row r="64" spans="2:35" ht="12.75">
      <c r="B64" s="122">
        <f t="shared" si="0"/>
        <v>62</v>
      </c>
      <c r="C64" s="129" t="s">
        <v>584</v>
      </c>
      <c r="D64" s="122" t="s">
        <v>585</v>
      </c>
      <c r="E64" s="122" t="s">
        <v>329</v>
      </c>
      <c r="I64" s="174">
        <f>VLOOKUP(E64,'Calorific values'!AA$4:AE$26,5)</f>
        <v>18684.050000000003</v>
      </c>
      <c r="K64" s="174">
        <f t="shared" si="3"/>
        <v>17364.050000000003</v>
      </c>
      <c r="L64" s="217">
        <v>29500</v>
      </c>
      <c r="M64" s="286">
        <v>0.5</v>
      </c>
      <c r="N64" s="122">
        <v>2</v>
      </c>
      <c r="P64" s="122" t="s">
        <v>593</v>
      </c>
      <c r="AG64" s="122" t="s">
        <v>343</v>
      </c>
      <c r="AH64" s="174">
        <v>19350</v>
      </c>
      <c r="AI64" s="122">
        <v>4</v>
      </c>
    </row>
    <row r="65" spans="2:35" ht="12.75">
      <c r="B65" s="122">
        <f t="shared" si="0"/>
        <v>63</v>
      </c>
      <c r="C65" s="129" t="s">
        <v>587</v>
      </c>
      <c r="D65" s="122" t="s">
        <v>588</v>
      </c>
      <c r="E65" s="122" t="s">
        <v>589</v>
      </c>
      <c r="F65" s="122">
        <v>5200</v>
      </c>
      <c r="G65" s="122">
        <v>5600</v>
      </c>
      <c r="H65" s="182">
        <f>AVERAGE(F65,G65)</f>
        <v>5400</v>
      </c>
      <c r="I65" s="174">
        <f>H65*4.2</f>
        <v>22680</v>
      </c>
      <c r="J65" s="174"/>
      <c r="K65" s="174">
        <f t="shared" si="3"/>
        <v>21360</v>
      </c>
      <c r="L65" s="217">
        <v>29500</v>
      </c>
      <c r="M65" s="286">
        <v>0.5</v>
      </c>
      <c r="N65" s="122">
        <v>1</v>
      </c>
      <c r="P65" s="122" t="s">
        <v>597</v>
      </c>
      <c r="AG65" s="122" t="s">
        <v>350</v>
      </c>
      <c r="AH65" s="174">
        <v>19100</v>
      </c>
      <c r="AI65" s="122">
        <v>4</v>
      </c>
    </row>
    <row r="66" spans="2:35" ht="12.75">
      <c r="B66" s="122">
        <f t="shared" si="0"/>
        <v>64</v>
      </c>
      <c r="C66" s="129" t="s">
        <v>591</v>
      </c>
      <c r="D66" s="122" t="s">
        <v>592</v>
      </c>
      <c r="E66" s="122" t="s">
        <v>374</v>
      </c>
      <c r="I66" s="174">
        <f>VLOOKUP(E66,'Calorific values'!AA$4:AE$26,5)</f>
        <v>18544.79</v>
      </c>
      <c r="K66" s="174">
        <f t="shared" si="3"/>
        <v>17224.79</v>
      </c>
      <c r="L66" s="217">
        <v>29500</v>
      </c>
      <c r="M66" s="286">
        <v>0.5</v>
      </c>
      <c r="N66" s="122">
        <v>2</v>
      </c>
      <c r="P66" s="122" t="s">
        <v>600</v>
      </c>
      <c r="AG66" s="122" t="s">
        <v>355</v>
      </c>
      <c r="AH66" s="174">
        <v>18500</v>
      </c>
      <c r="AI66" s="122">
        <v>4</v>
      </c>
    </row>
    <row r="67" spans="2:35" ht="12.75">
      <c r="B67" s="122">
        <f t="shared" si="0"/>
        <v>65</v>
      </c>
      <c r="C67" s="129" t="s">
        <v>594</v>
      </c>
      <c r="D67" s="122" t="s">
        <v>595</v>
      </c>
      <c r="E67" s="122" t="s">
        <v>596</v>
      </c>
      <c r="F67" s="122">
        <v>5008</v>
      </c>
      <c r="G67" s="122">
        <v>5019</v>
      </c>
      <c r="H67" s="182">
        <f>AVERAGE(F67,G67)</f>
        <v>5013.5</v>
      </c>
      <c r="I67" s="174">
        <f>H67*4.2</f>
        <v>21056.7</v>
      </c>
      <c r="J67" s="174"/>
      <c r="K67" s="174">
        <f t="shared" si="3"/>
        <v>19736.7</v>
      </c>
      <c r="L67" s="217">
        <v>29500</v>
      </c>
      <c r="M67" s="286">
        <v>0.5</v>
      </c>
      <c r="N67" s="122">
        <v>1</v>
      </c>
      <c r="P67" s="122" t="s">
        <v>604</v>
      </c>
      <c r="AG67" s="122" t="s">
        <v>362</v>
      </c>
      <c r="AH67" s="174">
        <v>20400</v>
      </c>
      <c r="AI67" s="122">
        <v>4</v>
      </c>
    </row>
    <row r="68" spans="2:35" ht="12.75">
      <c r="B68" s="122">
        <f t="shared" si="0"/>
        <v>66</v>
      </c>
      <c r="C68" s="129" t="s">
        <v>598</v>
      </c>
      <c r="D68" s="122" t="s">
        <v>599</v>
      </c>
      <c r="E68" s="122" t="s">
        <v>287</v>
      </c>
      <c r="I68" s="174">
        <f>VLOOKUP(E68,'Calorific values'!AA$4:AE$26,5)</f>
        <v>20424.800000000003</v>
      </c>
      <c r="K68" s="174">
        <f t="shared" si="3"/>
        <v>19104.800000000003</v>
      </c>
      <c r="L68" s="217">
        <v>29500</v>
      </c>
      <c r="M68" s="286">
        <v>0.5</v>
      </c>
      <c r="N68" s="122">
        <v>2</v>
      </c>
      <c r="P68" s="122" t="s">
        <v>608</v>
      </c>
      <c r="AG68" s="122" t="s">
        <v>372</v>
      </c>
      <c r="AH68" s="174">
        <v>18700</v>
      </c>
      <c r="AI68" s="122">
        <v>4</v>
      </c>
    </row>
    <row r="69" spans="2:35" ht="12.75">
      <c r="B69" s="122">
        <f aca="true" t="shared" si="6" ref="B69:B90">B68+1</f>
        <v>67</v>
      </c>
      <c r="C69" s="129" t="s">
        <v>601</v>
      </c>
      <c r="D69" s="122" t="s">
        <v>602</v>
      </c>
      <c r="E69" s="122" t="s">
        <v>603</v>
      </c>
      <c r="F69" s="122">
        <v>5000</v>
      </c>
      <c r="H69" s="182">
        <f>AVERAGE(F69,G69)</f>
        <v>5000</v>
      </c>
      <c r="I69" s="174">
        <f>H69*4.2</f>
        <v>21000</v>
      </c>
      <c r="J69" s="174" t="s">
        <v>349</v>
      </c>
      <c r="K69" s="174">
        <f t="shared" si="3"/>
        <v>19680</v>
      </c>
      <c r="L69" s="217">
        <v>29500</v>
      </c>
      <c r="M69" s="286">
        <v>0.5</v>
      </c>
      <c r="N69" s="122">
        <v>1</v>
      </c>
      <c r="P69" s="122" t="s">
        <v>611</v>
      </c>
      <c r="AG69" s="122" t="s">
        <v>381</v>
      </c>
      <c r="AH69" s="174">
        <v>19400</v>
      </c>
      <c r="AI69" s="122">
        <v>4</v>
      </c>
    </row>
    <row r="70" spans="2:35" ht="12.75">
      <c r="B70" s="122">
        <f t="shared" si="6"/>
        <v>68</v>
      </c>
      <c r="C70" s="129" t="s">
        <v>605</v>
      </c>
      <c r="D70" s="122" t="s">
        <v>606</v>
      </c>
      <c r="E70" s="122" t="s">
        <v>607</v>
      </c>
      <c r="I70" s="174">
        <v>19750</v>
      </c>
      <c r="K70" s="174">
        <f t="shared" si="3"/>
        <v>18430</v>
      </c>
      <c r="L70" s="217">
        <v>29500</v>
      </c>
      <c r="M70" s="286">
        <v>0.5</v>
      </c>
      <c r="N70" s="122">
        <v>4</v>
      </c>
      <c r="P70" s="122" t="s">
        <v>615</v>
      </c>
      <c r="AG70" s="177" t="s">
        <v>388</v>
      </c>
      <c r="AH70" s="178">
        <v>19400</v>
      </c>
      <c r="AI70" s="177">
        <v>4</v>
      </c>
    </row>
    <row r="71" spans="2:35" ht="12.75">
      <c r="B71" s="122">
        <f t="shared" si="6"/>
        <v>69</v>
      </c>
      <c r="C71" s="129" t="s">
        <v>609</v>
      </c>
      <c r="D71" s="122" t="s">
        <v>610</v>
      </c>
      <c r="E71" s="122" t="s">
        <v>303</v>
      </c>
      <c r="I71" s="174">
        <f>VLOOKUP(E71,'Calorific values'!AA$4:AE$26,5)</f>
        <v>20633.69</v>
      </c>
      <c r="K71" s="174">
        <f t="shared" si="3"/>
        <v>19313.69</v>
      </c>
      <c r="L71" s="217">
        <v>29500</v>
      </c>
      <c r="M71" s="286">
        <v>0.5</v>
      </c>
      <c r="N71" s="122">
        <v>2</v>
      </c>
      <c r="P71" s="122" t="s">
        <v>618</v>
      </c>
      <c r="AG71" s="122" t="s">
        <v>394</v>
      </c>
      <c r="AH71" s="174">
        <v>18400</v>
      </c>
      <c r="AI71" s="122">
        <v>4</v>
      </c>
    </row>
    <row r="72" spans="2:35" ht="12.75">
      <c r="B72" s="122">
        <f t="shared" si="6"/>
        <v>70</v>
      </c>
      <c r="C72" s="129" t="s">
        <v>612</v>
      </c>
      <c r="D72" s="122" t="s">
        <v>613</v>
      </c>
      <c r="E72" s="122" t="s">
        <v>614</v>
      </c>
      <c r="F72" s="122">
        <v>4792</v>
      </c>
      <c r="H72" s="182">
        <f>AVERAGE(F72,G72)</f>
        <v>4792</v>
      </c>
      <c r="I72" s="174">
        <f>H72*4.2</f>
        <v>20126.4</v>
      </c>
      <c r="K72" s="174">
        <f t="shared" si="3"/>
        <v>18806.4</v>
      </c>
      <c r="L72" s="217">
        <v>29500</v>
      </c>
      <c r="M72" s="286">
        <v>0.5</v>
      </c>
      <c r="N72" s="122">
        <v>1</v>
      </c>
      <c r="P72" s="122" t="s">
        <v>621</v>
      </c>
      <c r="AG72" s="122" t="s">
        <v>402</v>
      </c>
      <c r="AH72" s="174">
        <v>18800</v>
      </c>
      <c r="AI72" s="122">
        <v>4</v>
      </c>
    </row>
    <row r="73" spans="2:35" ht="12.75">
      <c r="B73" s="122">
        <f t="shared" si="6"/>
        <v>71</v>
      </c>
      <c r="C73" s="129" t="s">
        <v>616</v>
      </c>
      <c r="D73" s="122" t="s">
        <v>617</v>
      </c>
      <c r="E73" s="122" t="s">
        <v>395</v>
      </c>
      <c r="I73" s="174">
        <f>VLOOKUP(E73,'Calorific values'!AA$4:AE$26,5)</f>
        <v>18916.15</v>
      </c>
      <c r="J73" s="174"/>
      <c r="K73" s="174">
        <f t="shared" si="3"/>
        <v>17596.15</v>
      </c>
      <c r="L73" s="217">
        <v>29500</v>
      </c>
      <c r="M73" s="286">
        <v>0.5</v>
      </c>
      <c r="N73" s="122">
        <v>2</v>
      </c>
      <c r="P73" s="122" t="s">
        <v>625</v>
      </c>
      <c r="AG73" s="177" t="s">
        <v>408</v>
      </c>
      <c r="AH73" s="178">
        <v>20050</v>
      </c>
      <c r="AI73" s="177">
        <v>4</v>
      </c>
    </row>
    <row r="74" spans="2:35" ht="12.75">
      <c r="B74" s="122">
        <f t="shared" si="6"/>
        <v>72</v>
      </c>
      <c r="C74" s="129" t="s">
        <v>619</v>
      </c>
      <c r="D74" s="122" t="s">
        <v>620</v>
      </c>
      <c r="E74" s="122" t="s">
        <v>357</v>
      </c>
      <c r="I74" s="174">
        <f>VLOOKUP(E74,'Calorific values'!AA$4:AE$26,5)</f>
        <v>18684.050000000003</v>
      </c>
      <c r="J74" s="174"/>
      <c r="K74" s="174">
        <f t="shared" si="3"/>
        <v>17364.050000000003</v>
      </c>
      <c r="L74" s="217">
        <v>29500</v>
      </c>
      <c r="M74" s="286">
        <v>0.5</v>
      </c>
      <c r="N74" s="122">
        <v>2</v>
      </c>
      <c r="P74" s="122" t="s">
        <v>629</v>
      </c>
      <c r="AG74" s="122" t="s">
        <v>416</v>
      </c>
      <c r="AH74" s="174">
        <v>19600</v>
      </c>
      <c r="AI74" s="122">
        <v>4</v>
      </c>
    </row>
    <row r="75" spans="2:35" ht="12.75">
      <c r="B75" s="122">
        <f t="shared" si="6"/>
        <v>73</v>
      </c>
      <c r="C75" s="129" t="s">
        <v>622</v>
      </c>
      <c r="D75" s="122" t="s">
        <v>623</v>
      </c>
      <c r="E75" s="122" t="s">
        <v>624</v>
      </c>
      <c r="F75" s="122">
        <v>4000</v>
      </c>
      <c r="G75" s="122">
        <v>4300</v>
      </c>
      <c r="H75" s="182">
        <f>AVERAGE(F75,G75)</f>
        <v>4150</v>
      </c>
      <c r="I75" s="174">
        <f>H75*4.2</f>
        <v>17430</v>
      </c>
      <c r="J75" s="174"/>
      <c r="K75" s="174">
        <f aca="true" t="shared" si="7" ref="K75:K90">I75-1320</f>
        <v>16110</v>
      </c>
      <c r="L75" s="217">
        <v>29500</v>
      </c>
      <c r="M75" s="286">
        <v>0.5</v>
      </c>
      <c r="N75" s="122">
        <v>1</v>
      </c>
      <c r="P75" s="122" t="s">
        <v>631</v>
      </c>
      <c r="AG75" s="122" t="s">
        <v>419</v>
      </c>
      <c r="AH75" s="174">
        <v>19000</v>
      </c>
      <c r="AI75" s="122">
        <v>4</v>
      </c>
    </row>
    <row r="76" spans="2:35" ht="12.75">
      <c r="B76" s="122">
        <f t="shared" si="6"/>
        <v>74</v>
      </c>
      <c r="C76" s="129" t="s">
        <v>626</v>
      </c>
      <c r="D76" s="122" t="s">
        <v>627</v>
      </c>
      <c r="E76" s="122" t="s">
        <v>628</v>
      </c>
      <c r="F76" s="122">
        <v>4134</v>
      </c>
      <c r="G76" s="122">
        <v>4277</v>
      </c>
      <c r="H76" s="182">
        <f>AVERAGE(F76,G76)</f>
        <v>4205.5</v>
      </c>
      <c r="I76" s="174">
        <f>H76*4.2</f>
        <v>17663.100000000002</v>
      </c>
      <c r="K76" s="174">
        <f t="shared" si="7"/>
        <v>16343.100000000002</v>
      </c>
      <c r="L76" s="217">
        <v>29500</v>
      </c>
      <c r="M76" s="286">
        <v>0.5</v>
      </c>
      <c r="N76" s="122">
        <v>1</v>
      </c>
      <c r="P76" s="122" t="s">
        <v>635</v>
      </c>
      <c r="AG76" s="122" t="s">
        <v>424</v>
      </c>
      <c r="AH76" s="174">
        <v>18400</v>
      </c>
      <c r="AI76" s="122">
        <v>4</v>
      </c>
    </row>
    <row r="77" spans="2:35" ht="12.75">
      <c r="B77" s="122">
        <f t="shared" si="6"/>
        <v>75</v>
      </c>
      <c r="C77" s="129" t="s">
        <v>630</v>
      </c>
      <c r="D77" s="122" t="s">
        <v>630</v>
      </c>
      <c r="I77" s="174">
        <v>20000</v>
      </c>
      <c r="K77" s="174">
        <f t="shared" si="7"/>
        <v>18680</v>
      </c>
      <c r="L77" s="217">
        <v>29500</v>
      </c>
      <c r="M77" s="286">
        <v>0.5</v>
      </c>
      <c r="N77" s="122">
        <v>4</v>
      </c>
      <c r="P77" s="122" t="s">
        <v>639</v>
      </c>
      <c r="AG77" s="122" t="s">
        <v>431</v>
      </c>
      <c r="AH77" s="174">
        <v>19800</v>
      </c>
      <c r="AI77" s="122">
        <v>4</v>
      </c>
    </row>
    <row r="78" spans="2:35" ht="12.75">
      <c r="B78" s="122">
        <f t="shared" si="6"/>
        <v>76</v>
      </c>
      <c r="C78" s="129" t="s">
        <v>632</v>
      </c>
      <c r="D78" s="122" t="s">
        <v>633</v>
      </c>
      <c r="E78" s="122" t="s">
        <v>634</v>
      </c>
      <c r="I78" s="174">
        <v>18700</v>
      </c>
      <c r="K78" s="174">
        <f t="shared" si="7"/>
        <v>17380</v>
      </c>
      <c r="L78" s="217">
        <v>29500</v>
      </c>
      <c r="M78" s="286">
        <v>0.5</v>
      </c>
      <c r="N78" s="122">
        <v>4</v>
      </c>
      <c r="P78" s="122" t="s">
        <v>642</v>
      </c>
      <c r="AG78" s="177" t="s">
        <v>437</v>
      </c>
      <c r="AH78" s="178">
        <v>20000</v>
      </c>
      <c r="AI78" s="177">
        <v>4</v>
      </c>
    </row>
    <row r="79" spans="2:35" ht="12.75">
      <c r="B79" s="122">
        <f t="shared" si="6"/>
        <v>77</v>
      </c>
      <c r="C79" s="129" t="s">
        <v>636</v>
      </c>
      <c r="D79" s="122" t="s">
        <v>637</v>
      </c>
      <c r="E79" s="122" t="s">
        <v>638</v>
      </c>
      <c r="I79" s="174">
        <v>19300</v>
      </c>
      <c r="K79" s="174">
        <f t="shared" si="7"/>
        <v>17980</v>
      </c>
      <c r="L79" s="217">
        <v>29500</v>
      </c>
      <c r="M79" s="286">
        <v>0.5</v>
      </c>
      <c r="N79" s="122">
        <v>4</v>
      </c>
      <c r="P79" s="122" t="s">
        <v>646</v>
      </c>
      <c r="AG79" s="177" t="s">
        <v>444</v>
      </c>
      <c r="AH79" s="178">
        <v>19300</v>
      </c>
      <c r="AI79" s="177">
        <v>4</v>
      </c>
    </row>
    <row r="80" spans="2:35" ht="12.75">
      <c r="B80" s="122">
        <f t="shared" si="6"/>
        <v>78</v>
      </c>
      <c r="C80" s="129" t="s">
        <v>640</v>
      </c>
      <c r="D80" s="122" t="s">
        <v>545</v>
      </c>
      <c r="E80" s="122" t="s">
        <v>641</v>
      </c>
      <c r="I80" s="174">
        <v>20700</v>
      </c>
      <c r="K80" s="174">
        <f t="shared" si="7"/>
        <v>19380</v>
      </c>
      <c r="L80" s="217">
        <v>29500</v>
      </c>
      <c r="M80" s="286">
        <v>0.5</v>
      </c>
      <c r="N80" s="122">
        <v>4</v>
      </c>
      <c r="P80" s="122" t="s">
        <v>649</v>
      </c>
      <c r="AG80" s="188" t="s">
        <v>450</v>
      </c>
      <c r="AH80" s="174">
        <v>18600</v>
      </c>
      <c r="AI80" s="122">
        <v>4</v>
      </c>
    </row>
    <row r="81" spans="2:35" ht="12.75">
      <c r="B81" s="122">
        <f t="shared" si="6"/>
        <v>79</v>
      </c>
      <c r="C81" s="129" t="s">
        <v>643</v>
      </c>
      <c r="D81" s="122" t="s">
        <v>644</v>
      </c>
      <c r="E81" s="122" t="s">
        <v>645</v>
      </c>
      <c r="F81" s="122">
        <v>4800</v>
      </c>
      <c r="H81" s="182">
        <f>AVERAGE(F81,G81)</f>
        <v>4800</v>
      </c>
      <c r="I81" s="174">
        <f>H81*4.2</f>
        <v>20160</v>
      </c>
      <c r="J81" s="174"/>
      <c r="K81" s="174">
        <f t="shared" si="7"/>
        <v>18840</v>
      </c>
      <c r="L81" s="217">
        <v>29500</v>
      </c>
      <c r="M81" s="286">
        <v>0.5</v>
      </c>
      <c r="N81" s="122">
        <v>1</v>
      </c>
      <c r="P81" s="122" t="s">
        <v>651</v>
      </c>
      <c r="AG81" s="122" t="s">
        <v>456</v>
      </c>
      <c r="AH81" s="174">
        <v>18100</v>
      </c>
      <c r="AI81" s="122">
        <v>4</v>
      </c>
    </row>
    <row r="82" spans="2:35" ht="12.75">
      <c r="B82" s="122">
        <f t="shared" si="6"/>
        <v>80</v>
      </c>
      <c r="C82" s="129" t="s">
        <v>647</v>
      </c>
      <c r="D82" s="122" t="s">
        <v>648</v>
      </c>
      <c r="E82" s="122" t="s">
        <v>392</v>
      </c>
      <c r="I82" s="174">
        <f>VLOOKUP(E82,'Calorific values'!AA$4:AE$26,5)</f>
        <v>22513.7</v>
      </c>
      <c r="K82" s="174">
        <f t="shared" si="7"/>
        <v>21193.7</v>
      </c>
      <c r="L82" s="217">
        <v>29500</v>
      </c>
      <c r="M82" s="286">
        <v>0.5</v>
      </c>
      <c r="N82" s="122">
        <v>2</v>
      </c>
      <c r="P82" s="122" t="s">
        <v>654</v>
      </c>
      <c r="AG82" s="177" t="s">
        <v>461</v>
      </c>
      <c r="AH82" s="178">
        <v>20000</v>
      </c>
      <c r="AI82" s="177">
        <v>4</v>
      </c>
    </row>
    <row r="83" spans="2:35" ht="12.75">
      <c r="B83" s="122">
        <f t="shared" si="6"/>
        <v>81</v>
      </c>
      <c r="C83" s="129" t="s">
        <v>650</v>
      </c>
      <c r="D83" s="122" t="s">
        <v>650</v>
      </c>
      <c r="F83" s="122">
        <v>4500</v>
      </c>
      <c r="H83" s="182">
        <f>AVERAGE(F83,G83)</f>
        <v>4500</v>
      </c>
      <c r="I83" s="174">
        <f>H83*4.2</f>
        <v>18900</v>
      </c>
      <c r="K83" s="174">
        <f t="shared" si="7"/>
        <v>17580</v>
      </c>
      <c r="L83" s="217">
        <v>29500</v>
      </c>
      <c r="M83" s="286">
        <v>0.5</v>
      </c>
      <c r="N83" s="122">
        <v>1</v>
      </c>
      <c r="AG83" s="122" t="s">
        <v>468</v>
      </c>
      <c r="AH83" s="174">
        <v>18700</v>
      </c>
      <c r="AI83" s="122">
        <v>4</v>
      </c>
    </row>
    <row r="84" spans="2:35" ht="12.75">
      <c r="B84" s="122">
        <f t="shared" si="6"/>
        <v>82</v>
      </c>
      <c r="C84" s="129" t="s">
        <v>652</v>
      </c>
      <c r="D84" s="122" t="s">
        <v>653</v>
      </c>
      <c r="E84" s="122" t="s">
        <v>311</v>
      </c>
      <c r="I84" s="174">
        <f>VLOOKUP(E84,'Calorific values'!AA$4:AE$26,5)</f>
        <v>19519.61</v>
      </c>
      <c r="K84" s="174">
        <f t="shared" si="7"/>
        <v>18199.61</v>
      </c>
      <c r="L84" s="217">
        <v>29500</v>
      </c>
      <c r="M84" s="286">
        <v>0.5</v>
      </c>
      <c r="N84" s="122">
        <v>2</v>
      </c>
      <c r="AG84" s="177" t="s">
        <v>473</v>
      </c>
      <c r="AH84" s="178">
        <v>20550</v>
      </c>
      <c r="AI84" s="177">
        <v>4</v>
      </c>
    </row>
    <row r="85" spans="2:35" ht="12.75">
      <c r="B85" s="122">
        <f t="shared" si="6"/>
        <v>83</v>
      </c>
      <c r="C85" s="129" t="s">
        <v>655</v>
      </c>
      <c r="D85" s="122" t="s">
        <v>656</v>
      </c>
      <c r="E85" s="122" t="s">
        <v>382</v>
      </c>
      <c r="I85" s="174">
        <f>VLOOKUP(E85,'Calorific values'!AA$4:AE$26,5)</f>
        <v>19519.61</v>
      </c>
      <c r="J85" s="174"/>
      <c r="K85" s="174">
        <f t="shared" si="7"/>
        <v>18199.61</v>
      </c>
      <c r="L85" s="217">
        <v>29500</v>
      </c>
      <c r="M85" s="286">
        <v>0.5</v>
      </c>
      <c r="N85" s="122">
        <v>2</v>
      </c>
      <c r="AG85" s="122" t="s">
        <v>480</v>
      </c>
      <c r="AH85" s="174">
        <v>19750</v>
      </c>
      <c r="AI85" s="122">
        <v>4</v>
      </c>
    </row>
    <row r="86" spans="2:35" ht="12.75">
      <c r="B86" s="122">
        <f t="shared" si="6"/>
        <v>84</v>
      </c>
      <c r="C86" s="129" t="s">
        <v>657</v>
      </c>
      <c r="D86" s="122" t="s">
        <v>658</v>
      </c>
      <c r="E86" s="122" t="s">
        <v>318</v>
      </c>
      <c r="I86" s="174">
        <f>VLOOKUP(E86,'Calorific values'!AA$4:AE$26,5)</f>
        <v>18962.570000000003</v>
      </c>
      <c r="K86" s="174">
        <f t="shared" si="7"/>
        <v>17642.570000000003</v>
      </c>
      <c r="L86" s="217">
        <v>29500</v>
      </c>
      <c r="M86" s="286">
        <v>0.5</v>
      </c>
      <c r="N86" s="122">
        <v>2</v>
      </c>
      <c r="AG86" s="122" t="s">
        <v>665</v>
      </c>
      <c r="AH86" s="174">
        <v>19800</v>
      </c>
      <c r="AI86" s="122">
        <v>4</v>
      </c>
    </row>
    <row r="87" spans="2:35" ht="12.75">
      <c r="B87" s="122">
        <f t="shared" si="6"/>
        <v>85</v>
      </c>
      <c r="C87" s="129" t="s">
        <v>659</v>
      </c>
      <c r="D87" s="122" t="s">
        <v>660</v>
      </c>
      <c r="E87" s="122" t="s">
        <v>661</v>
      </c>
      <c r="I87" s="174">
        <v>16300</v>
      </c>
      <c r="K87" s="174">
        <f t="shared" si="7"/>
        <v>14980</v>
      </c>
      <c r="L87" s="217">
        <v>29500</v>
      </c>
      <c r="M87" s="286">
        <v>0.5</v>
      </c>
      <c r="N87" s="122">
        <v>4</v>
      </c>
      <c r="AG87" s="122" t="s">
        <v>493</v>
      </c>
      <c r="AH87" s="174">
        <v>18400</v>
      </c>
      <c r="AI87" s="122">
        <v>4</v>
      </c>
    </row>
    <row r="88" spans="2:35" ht="12.75">
      <c r="B88" s="122">
        <f t="shared" si="6"/>
        <v>86</v>
      </c>
      <c r="C88" s="129" t="s">
        <v>662</v>
      </c>
      <c r="D88" s="122" t="s">
        <v>663</v>
      </c>
      <c r="E88" s="122" t="s">
        <v>664</v>
      </c>
      <c r="I88" s="174">
        <v>15400</v>
      </c>
      <c r="K88" s="174">
        <f t="shared" si="7"/>
        <v>14080</v>
      </c>
      <c r="L88" s="217">
        <v>29500</v>
      </c>
      <c r="M88" s="286">
        <v>0.5</v>
      </c>
      <c r="N88" s="122">
        <v>4</v>
      </c>
      <c r="AG88" s="122" t="s">
        <v>498</v>
      </c>
      <c r="AH88" s="174">
        <v>19300</v>
      </c>
      <c r="AI88" s="122">
        <v>4</v>
      </c>
    </row>
    <row r="89" spans="2:35" ht="12.75">
      <c r="B89" s="122">
        <f t="shared" si="6"/>
        <v>87</v>
      </c>
      <c r="C89" s="129" t="s">
        <v>666</v>
      </c>
      <c r="D89" s="122" t="s">
        <v>667</v>
      </c>
      <c r="E89" s="122" t="s">
        <v>668</v>
      </c>
      <c r="F89" s="122">
        <v>4900</v>
      </c>
      <c r="H89" s="182">
        <f>AVERAGE(F89,G89)</f>
        <v>4900</v>
      </c>
      <c r="I89" s="174">
        <f>H89*4.2</f>
        <v>20580</v>
      </c>
      <c r="K89" s="174">
        <f t="shared" si="7"/>
        <v>19260</v>
      </c>
      <c r="L89" s="217">
        <v>29500</v>
      </c>
      <c r="M89" s="286">
        <v>0.5</v>
      </c>
      <c r="N89" s="122">
        <v>1</v>
      </c>
      <c r="AG89" s="177" t="s">
        <v>503</v>
      </c>
      <c r="AH89" s="178">
        <v>18500</v>
      </c>
      <c r="AI89" s="177">
        <v>4</v>
      </c>
    </row>
    <row r="90" spans="2:35" ht="11.25" customHeight="1">
      <c r="B90" s="122">
        <f t="shared" si="6"/>
        <v>88</v>
      </c>
      <c r="C90" s="129" t="s">
        <v>669</v>
      </c>
      <c r="D90" s="122" t="s">
        <v>669</v>
      </c>
      <c r="I90" s="174">
        <v>18300</v>
      </c>
      <c r="K90" s="174">
        <f t="shared" si="7"/>
        <v>16980</v>
      </c>
      <c r="L90" s="217">
        <v>29500</v>
      </c>
      <c r="M90" s="286">
        <v>0.5</v>
      </c>
      <c r="N90" s="122">
        <v>4</v>
      </c>
      <c r="AG90" s="122" t="s">
        <v>511</v>
      </c>
      <c r="AH90" s="174">
        <v>19750</v>
      </c>
      <c r="AI90" s="122">
        <v>4</v>
      </c>
    </row>
    <row r="91" spans="33:35" ht="12.75">
      <c r="AG91" s="177" t="s">
        <v>516</v>
      </c>
      <c r="AH91" s="178">
        <v>20100</v>
      </c>
      <c r="AI91" s="177">
        <v>4</v>
      </c>
    </row>
    <row r="92" spans="2:35" ht="12.75">
      <c r="B92" s="189"/>
      <c r="C92" s="770" t="s">
        <v>670</v>
      </c>
      <c r="D92" s="770"/>
      <c r="E92" s="770"/>
      <c r="F92" s="770"/>
      <c r="G92" s="770"/>
      <c r="H92" s="770"/>
      <c r="I92" s="770"/>
      <c r="AG92" s="177" t="s">
        <v>521</v>
      </c>
      <c r="AH92" s="178">
        <v>21300</v>
      </c>
      <c r="AI92" s="177">
        <v>4</v>
      </c>
    </row>
    <row r="93" spans="2:35" ht="12.75">
      <c r="B93" s="189"/>
      <c r="C93" s="190" t="s">
        <v>671</v>
      </c>
      <c r="D93" s="189" t="s">
        <v>672</v>
      </c>
      <c r="E93" s="189"/>
      <c r="F93" s="189"/>
      <c r="G93" s="189"/>
      <c r="H93" s="189"/>
      <c r="I93" s="191">
        <f>MIN($I$14:$I$90)</f>
        <v>15400</v>
      </c>
      <c r="AG93" s="122" t="s">
        <v>526</v>
      </c>
      <c r="AH93" s="174">
        <v>20000</v>
      </c>
      <c r="AI93" s="122">
        <v>4</v>
      </c>
    </row>
    <row r="94" spans="2:35" ht="12.75">
      <c r="B94" s="189"/>
      <c r="C94" s="190" t="s">
        <v>673</v>
      </c>
      <c r="D94" s="189"/>
      <c r="E94" s="189"/>
      <c r="F94" s="189"/>
      <c r="G94" s="189"/>
      <c r="H94" s="189"/>
      <c r="I94" s="191">
        <f>MAX($I$14:$I$90)</f>
        <v>22680</v>
      </c>
      <c r="AG94" s="122" t="s">
        <v>533</v>
      </c>
      <c r="AH94" s="174">
        <v>18700</v>
      </c>
      <c r="AI94" s="122">
        <v>4</v>
      </c>
    </row>
    <row r="95" spans="2:35" ht="12.75">
      <c r="B95" s="189"/>
      <c r="C95" s="190" t="s">
        <v>674</v>
      </c>
      <c r="D95" s="189"/>
      <c r="E95" s="189"/>
      <c r="F95" s="189"/>
      <c r="G95" s="189"/>
      <c r="H95" s="189"/>
      <c r="I95" s="191">
        <f>STDEV($I$14:$I$90)</f>
        <v>1278.2718886083765</v>
      </c>
      <c r="AG95" s="122" t="s">
        <v>538</v>
      </c>
      <c r="AH95" s="174">
        <v>19300</v>
      </c>
      <c r="AI95" s="122">
        <v>4</v>
      </c>
    </row>
    <row r="96" spans="2:35" ht="12.75">
      <c r="B96" s="189"/>
      <c r="C96" s="190" t="s">
        <v>191</v>
      </c>
      <c r="D96" s="189"/>
      <c r="E96" s="189"/>
      <c r="F96" s="189"/>
      <c r="G96" s="189"/>
      <c r="H96" s="189"/>
      <c r="I96" s="191">
        <f>AVERAGE($I$14:$I$90)</f>
        <v>19450.20324675325</v>
      </c>
      <c r="AG96" s="122" t="s">
        <v>545</v>
      </c>
      <c r="AH96" s="174">
        <v>20700</v>
      </c>
      <c r="AI96" s="122">
        <v>4</v>
      </c>
    </row>
    <row r="97" spans="2:35" ht="12.75">
      <c r="B97" s="189"/>
      <c r="C97" s="190" t="s">
        <v>675</v>
      </c>
      <c r="D97" s="189"/>
      <c r="E97" s="189"/>
      <c r="F97" s="189"/>
      <c r="G97" s="189"/>
      <c r="H97" s="189"/>
      <c r="I97" s="191">
        <f>QUARTILE($I$14:$I$90,1)</f>
        <v>18684.050000000003</v>
      </c>
      <c r="AG97" s="177" t="s">
        <v>550</v>
      </c>
      <c r="AH97" s="178">
        <v>20300</v>
      </c>
      <c r="AI97" s="177">
        <v>4</v>
      </c>
    </row>
    <row r="98" spans="2:35" ht="12.75">
      <c r="B98" s="189"/>
      <c r="C98" s="190" t="s">
        <v>676</v>
      </c>
      <c r="D98" s="189"/>
      <c r="E98" s="189"/>
      <c r="F98" s="189"/>
      <c r="G98" s="189"/>
      <c r="H98" s="189"/>
      <c r="I98" s="191">
        <f>MEDIAN($I$14:$I$90)</f>
        <v>19320</v>
      </c>
      <c r="AG98" s="122" t="s">
        <v>555</v>
      </c>
      <c r="AH98" s="174">
        <v>16300</v>
      </c>
      <c r="AI98" s="122">
        <v>4</v>
      </c>
    </row>
    <row r="99" spans="2:35" ht="12.75">
      <c r="B99" s="189"/>
      <c r="C99" s="190" t="s">
        <v>677</v>
      </c>
      <c r="D99" s="189"/>
      <c r="E99" s="189"/>
      <c r="F99" s="189"/>
      <c r="G99" s="189"/>
      <c r="H99" s="189"/>
      <c r="I99" s="191">
        <f>QUARTILE($I$14:$I$90,3)</f>
        <v>20160</v>
      </c>
      <c r="AG99" s="122" t="s">
        <v>559</v>
      </c>
      <c r="AH99" s="174">
        <v>15400</v>
      </c>
      <c r="AI99" s="122">
        <v>4</v>
      </c>
    </row>
    <row r="100" spans="2:35" ht="12.75">
      <c r="B100" s="189"/>
      <c r="C100" s="120"/>
      <c r="D100" s="189"/>
      <c r="E100" s="189"/>
      <c r="F100" s="189"/>
      <c r="G100" s="189"/>
      <c r="H100" s="189"/>
      <c r="I100" s="189"/>
      <c r="AG100" s="122" t="s">
        <v>563</v>
      </c>
      <c r="AH100" s="174">
        <v>18300</v>
      </c>
      <c r="AI100" s="122">
        <v>4</v>
      </c>
    </row>
    <row r="101" spans="2:9" ht="12.75">
      <c r="B101" s="189">
        <v>1</v>
      </c>
      <c r="C101" s="120" t="s">
        <v>678</v>
      </c>
      <c r="D101" s="189"/>
      <c r="E101" s="189"/>
      <c r="F101" s="189"/>
      <c r="G101" s="189"/>
      <c r="H101" s="189"/>
      <c r="I101" s="189"/>
    </row>
    <row r="102" spans="2:9" ht="12.75">
      <c r="B102" s="189">
        <v>2</v>
      </c>
      <c r="C102" s="120" t="s">
        <v>679</v>
      </c>
      <c r="D102" s="189"/>
      <c r="E102" s="189"/>
      <c r="F102" s="189"/>
      <c r="G102" s="189"/>
      <c r="H102" s="189"/>
      <c r="I102" s="189"/>
    </row>
    <row r="103" spans="2:9" ht="22.5">
      <c r="B103" s="189">
        <v>3</v>
      </c>
      <c r="C103" s="120" t="s">
        <v>680</v>
      </c>
      <c r="D103" s="189"/>
      <c r="E103" s="189"/>
      <c r="F103" s="189"/>
      <c r="G103" s="189"/>
      <c r="H103" s="189"/>
      <c r="I103" s="189"/>
    </row>
    <row r="104" spans="2:9" ht="12.75">
      <c r="B104" s="189">
        <v>4</v>
      </c>
      <c r="C104" s="120" t="s">
        <v>681</v>
      </c>
      <c r="D104" s="189"/>
      <c r="E104" s="189"/>
      <c r="F104" s="189"/>
      <c r="G104" s="189"/>
      <c r="H104" s="189"/>
      <c r="I104" s="189"/>
    </row>
  </sheetData>
  <sheetProtection/>
  <mergeCells count="4">
    <mergeCell ref="F1:H1"/>
    <mergeCell ref="AB2:AC2"/>
    <mergeCell ref="AD2:AE2"/>
    <mergeCell ref="C92:I92"/>
  </mergeCells>
  <printOptions/>
  <pageMargins left="0.7479166666666667" right="0.7479166666666667" top="0.9840277777777777" bottom="0.9840277777777777" header="0.5118055555555555" footer="0.5118055555555555"/>
  <pageSetup horizontalDpi="300" verticalDpi="300" orientation="portrait" r:id="rId3"/>
  <legacyDrawing r:id="rId2"/>
</worksheet>
</file>

<file path=xl/worksheets/sheet18.xml><?xml version="1.0" encoding="utf-8"?>
<worksheet xmlns="http://schemas.openxmlformats.org/spreadsheetml/2006/main" xmlns:r="http://schemas.openxmlformats.org/officeDocument/2006/relationships">
  <dimension ref="A1:G68"/>
  <sheetViews>
    <sheetView workbookViewId="0" topLeftCell="A1">
      <selection activeCell="A1" sqref="A1"/>
    </sheetView>
  </sheetViews>
  <sheetFormatPr defaultColWidth="9.140625" defaultRowHeight="12.75"/>
  <cols>
    <col min="1" max="1" width="40.00390625" style="0" customWidth="1"/>
    <col min="2" max="2" width="7.00390625" style="0" bestFit="1" customWidth="1"/>
    <col min="3" max="3" width="41.140625" style="0" bestFit="1" customWidth="1"/>
    <col min="4" max="4" width="14.421875" style="0" bestFit="1" customWidth="1"/>
    <col min="5" max="6" width="7.00390625" style="0" bestFit="1" customWidth="1"/>
    <col min="7" max="7" width="5.57421875" style="0" customWidth="1"/>
  </cols>
  <sheetData>
    <row r="1" spans="1:7" ht="12.75">
      <c r="A1" s="172" t="s">
        <v>1048</v>
      </c>
      <c r="C1" t="s">
        <v>1049</v>
      </c>
      <c r="D1" t="s">
        <v>90</v>
      </c>
      <c r="E1" t="s">
        <v>89</v>
      </c>
      <c r="F1" t="s">
        <v>1050</v>
      </c>
      <c r="G1" t="s">
        <v>1051</v>
      </c>
    </row>
    <row r="2" spans="3:7" ht="12.75">
      <c r="C2" t="s">
        <v>1052</v>
      </c>
      <c r="D2" t="s">
        <v>1053</v>
      </c>
      <c r="E2" t="e">
        <f>Results!N47</f>
        <v>#DIV/0!</v>
      </c>
      <c r="F2" t="e">
        <f>Results!O47</f>
        <v>#DIV/0!</v>
      </c>
      <c r="G2">
        <v>1</v>
      </c>
    </row>
    <row r="3" spans="1:7" ht="12.75">
      <c r="A3" t="s">
        <v>1054</v>
      </c>
      <c r="B3">
        <f>'General Information'!J3</f>
        <v>0</v>
      </c>
      <c r="C3" t="s">
        <v>1055</v>
      </c>
      <c r="D3" t="s">
        <v>1056</v>
      </c>
      <c r="E3" s="406" t="e">
        <f>Results!N49</f>
        <v>#DIV/0!</v>
      </c>
      <c r="F3" s="406" t="e">
        <f>Results!O49</f>
        <v>#DIV/0!</v>
      </c>
      <c r="G3">
        <v>2</v>
      </c>
    </row>
    <row r="4" spans="1:7" ht="12.75">
      <c r="A4" t="s">
        <v>1057</v>
      </c>
      <c r="B4">
        <f>'General Information'!L22</f>
        <v>18414</v>
      </c>
      <c r="C4" t="s">
        <v>1058</v>
      </c>
      <c r="D4" t="s">
        <v>858</v>
      </c>
      <c r="E4" t="e">
        <f>Results!N48</f>
        <v>#DIV/0!</v>
      </c>
      <c r="F4" t="e">
        <f>Results!O48</f>
        <v>#DIV/0!</v>
      </c>
      <c r="G4">
        <v>3</v>
      </c>
    </row>
    <row r="5" spans="1:7" ht="12.75">
      <c r="A5" t="s">
        <v>937</v>
      </c>
      <c r="B5">
        <f>'General Information'!C12</f>
        <v>0</v>
      </c>
      <c r="C5" t="s">
        <v>1059</v>
      </c>
      <c r="D5" t="s">
        <v>862</v>
      </c>
      <c r="E5" t="e">
        <f>Results!N50</f>
        <v>#DIV/0!</v>
      </c>
      <c r="F5" t="e">
        <f>Results!O50</f>
        <v>#DIV/0!</v>
      </c>
      <c r="G5">
        <v>4</v>
      </c>
    </row>
    <row r="6" spans="1:7" ht="12.75">
      <c r="A6" t="s">
        <v>1060</v>
      </c>
      <c r="B6">
        <f>'General Information'!B27</f>
        <v>0</v>
      </c>
      <c r="C6" t="s">
        <v>938</v>
      </c>
      <c r="D6" t="s">
        <v>113</v>
      </c>
      <c r="E6" s="406">
        <f>Results!N14</f>
        <v>0.3778748966471491</v>
      </c>
      <c r="F6" s="407" t="e">
        <f>Results!O14</f>
        <v>#DIV/0!</v>
      </c>
      <c r="G6">
        <v>5</v>
      </c>
    </row>
    <row r="7" spans="1:7" ht="12.75">
      <c r="A7" t="s">
        <v>1061</v>
      </c>
      <c r="B7" t="s">
        <v>942</v>
      </c>
      <c r="C7" t="s">
        <v>939</v>
      </c>
      <c r="D7" t="s">
        <v>113</v>
      </c>
      <c r="E7" s="406">
        <f>Results!N24</f>
        <v>0.29851710113839125</v>
      </c>
      <c r="F7" s="407" t="e">
        <f>Results!O24</f>
        <v>#DIV/0!</v>
      </c>
      <c r="G7">
        <v>6</v>
      </c>
    </row>
    <row r="8" spans="1:7" ht="12.75">
      <c r="A8" t="s">
        <v>1062</v>
      </c>
      <c r="B8">
        <f>'General Information'!C8</f>
        <v>0</v>
      </c>
      <c r="C8" t="s">
        <v>1063</v>
      </c>
      <c r="D8" t="s">
        <v>113</v>
      </c>
      <c r="E8">
        <f>Results!N45</f>
        <v>0.3381959988927702</v>
      </c>
      <c r="F8" t="e">
        <f>Results!O45</f>
        <v>#DIV/0!</v>
      </c>
      <c r="G8">
        <v>7</v>
      </c>
    </row>
    <row r="9" spans="1:7" ht="12.75">
      <c r="A9" t="s">
        <v>1064</v>
      </c>
      <c r="B9">
        <f>'General Information'!C9</f>
        <v>0</v>
      </c>
      <c r="C9" t="s">
        <v>1065</v>
      </c>
      <c r="D9" t="s">
        <v>854</v>
      </c>
      <c r="E9">
        <f>Results!N46</f>
        <v>0.03389531358642748</v>
      </c>
      <c r="F9" t="e">
        <f>Results!O46</f>
        <v>#DIV/0!</v>
      </c>
      <c r="G9">
        <v>8</v>
      </c>
    </row>
    <row r="10" spans="1:7" ht="12.75">
      <c r="A10" t="s">
        <v>935</v>
      </c>
      <c r="B10">
        <f>'General Information'!C6</f>
        <v>0</v>
      </c>
      <c r="C10" t="s">
        <v>1066</v>
      </c>
      <c r="D10" t="s">
        <v>154</v>
      </c>
      <c r="E10" t="e">
        <f>Results!N51</f>
        <v>#DIV/0!</v>
      </c>
      <c r="F10" t="e">
        <f>Results!O51</f>
        <v>#DIV/0!</v>
      </c>
      <c r="G10">
        <v>9</v>
      </c>
    </row>
    <row r="11" spans="1:7" ht="12.75">
      <c r="A11" t="s">
        <v>936</v>
      </c>
      <c r="C11" t="s">
        <v>1067</v>
      </c>
      <c r="D11" t="s">
        <v>865</v>
      </c>
      <c r="E11" t="e">
        <f>Results!N52</f>
        <v>#DIV/0!</v>
      </c>
      <c r="F11" t="e">
        <f>Results!O52</f>
        <v>#DIV/0!</v>
      </c>
      <c r="G11">
        <v>10</v>
      </c>
    </row>
    <row r="12" spans="1:7" ht="12.75">
      <c r="A12" t="s">
        <v>1141</v>
      </c>
      <c r="B12">
        <f>'IWA Summary'!C23</f>
        <v>0</v>
      </c>
      <c r="C12" t="s">
        <v>1068</v>
      </c>
      <c r="D12" t="s">
        <v>1069</v>
      </c>
      <c r="G12">
        <v>12</v>
      </c>
    </row>
    <row r="13" spans="1:7" ht="12.75">
      <c r="A13" t="s">
        <v>1142</v>
      </c>
      <c r="B13">
        <f>'IWA Summary'!C20</f>
        <v>0</v>
      </c>
      <c r="C13" t="s">
        <v>1070</v>
      </c>
      <c r="D13" t="s">
        <v>1071</v>
      </c>
      <c r="G13">
        <v>13</v>
      </c>
    </row>
    <row r="14" spans="1:7" ht="12.75">
      <c r="A14" t="s">
        <v>1143</v>
      </c>
      <c r="B14">
        <f>'IWA Summary'!C28</f>
        <v>0</v>
      </c>
      <c r="C14" t="s">
        <v>1072</v>
      </c>
      <c r="D14" t="s">
        <v>113</v>
      </c>
      <c r="G14">
        <v>14</v>
      </c>
    </row>
    <row r="15" spans="1:7" ht="12.75">
      <c r="A15" t="s">
        <v>1144</v>
      </c>
      <c r="B15" t="str">
        <f>'IWA Summary'!C33</f>
        <v>0</v>
      </c>
      <c r="C15" t="s">
        <v>1073</v>
      </c>
      <c r="D15" t="s">
        <v>1074</v>
      </c>
      <c r="G15">
        <v>15</v>
      </c>
    </row>
    <row r="16" spans="1:7" ht="12.75">
      <c r="A16" t="s">
        <v>1145</v>
      </c>
      <c r="B16" t="e">
        <f>'IWA Summary'!H23</f>
        <v>#DIV/0!</v>
      </c>
      <c r="C16" t="s">
        <v>1075</v>
      </c>
      <c r="D16" t="s">
        <v>1076</v>
      </c>
      <c r="G16">
        <v>16</v>
      </c>
    </row>
    <row r="17" spans="1:7" ht="12.75">
      <c r="A17" t="s">
        <v>1146</v>
      </c>
      <c r="B17" t="e">
        <f>'IWA Summary'!H24</f>
        <v>#DIV/0!</v>
      </c>
      <c r="C17" t="s">
        <v>1077</v>
      </c>
      <c r="D17" t="s">
        <v>1078</v>
      </c>
      <c r="E17" s="406">
        <f>Results!N18</f>
        <v>3292.3888888888923</v>
      </c>
      <c r="F17" t="e">
        <f>Results!O18</f>
        <v>#DIV/0!</v>
      </c>
      <c r="G17">
        <v>17</v>
      </c>
    </row>
    <row r="18" spans="1:7" ht="12.75">
      <c r="A18" t="s">
        <v>1147</v>
      </c>
      <c r="B18" s="406" t="e">
        <f>'IWA Summary'!H25</f>
        <v>#DIV/0!</v>
      </c>
      <c r="C18" t="s">
        <v>1079</v>
      </c>
      <c r="D18" t="s">
        <v>1078</v>
      </c>
      <c r="E18" s="406">
        <f>Results!N28</f>
        <v>5161.746376811594</v>
      </c>
      <c r="F18" t="e">
        <f>Results!O28</f>
        <v>#DIV/0!</v>
      </c>
      <c r="G18">
        <v>18</v>
      </c>
    </row>
    <row r="19" spans="1:7" ht="12.75">
      <c r="A19" t="s">
        <v>1148</v>
      </c>
      <c r="B19" t="e">
        <f>'IWA Summary'!H26</f>
        <v>#DIV/0!</v>
      </c>
      <c r="C19" t="s">
        <v>1080</v>
      </c>
      <c r="D19" t="s">
        <v>1078</v>
      </c>
      <c r="E19" s="406">
        <f>Results!N35</f>
        <v>2256.862962962963</v>
      </c>
      <c r="F19" t="e">
        <f>Results!O35</f>
        <v>#DIV/0!</v>
      </c>
      <c r="G19">
        <v>19</v>
      </c>
    </row>
    <row r="20" spans="1:7" ht="12.75">
      <c r="A20" t="s">
        <v>1149</v>
      </c>
      <c r="B20">
        <f>'IWA Summary'!H20</f>
        <v>0.3381959988927702</v>
      </c>
      <c r="C20" t="s">
        <v>1081</v>
      </c>
      <c r="D20" t="s">
        <v>141</v>
      </c>
      <c r="G20">
        <v>21</v>
      </c>
    </row>
    <row r="21" spans="1:7" ht="12.75">
      <c r="A21" t="s">
        <v>1150</v>
      </c>
      <c r="B21">
        <f>'IWA Summary'!H21</f>
        <v>0.03389531358642748</v>
      </c>
      <c r="C21" t="s">
        <v>1082</v>
      </c>
      <c r="D21" t="s">
        <v>1083</v>
      </c>
      <c r="G21">
        <v>22</v>
      </c>
    </row>
    <row r="22" spans="1:7" ht="12.75">
      <c r="A22" t="s">
        <v>1151</v>
      </c>
      <c r="B22">
        <f>'IWA Summary'!H28</f>
        <v>0</v>
      </c>
      <c r="C22" t="s">
        <v>1084</v>
      </c>
      <c r="D22" t="s">
        <v>1083</v>
      </c>
      <c r="G22">
        <v>23</v>
      </c>
    </row>
    <row r="23" spans="1:7" ht="12.75">
      <c r="A23" t="s">
        <v>1152</v>
      </c>
      <c r="B23">
        <f>'IWA Summary'!H29</f>
        <v>0</v>
      </c>
      <c r="C23" t="s">
        <v>1085</v>
      </c>
      <c r="D23" t="s">
        <v>1086</v>
      </c>
      <c r="G23">
        <v>24</v>
      </c>
    </row>
    <row r="24" spans="1:7" ht="12.75">
      <c r="A24" t="s">
        <v>1153</v>
      </c>
      <c r="B24">
        <f>'IWA Summary'!H30</f>
        <v>0</v>
      </c>
      <c r="C24" t="s">
        <v>1087</v>
      </c>
      <c r="D24" t="s">
        <v>1086</v>
      </c>
      <c r="G24">
        <v>25</v>
      </c>
    </row>
    <row r="25" spans="1:7" ht="12.75">
      <c r="A25" t="s">
        <v>1154</v>
      </c>
      <c r="B25">
        <f>'IWA Summary'!H31</f>
        <v>0</v>
      </c>
      <c r="C25" t="s">
        <v>1088</v>
      </c>
      <c r="D25" t="s">
        <v>865</v>
      </c>
      <c r="G25">
        <v>26</v>
      </c>
    </row>
    <row r="26" spans="3:7" ht="12.75">
      <c r="C26" t="s">
        <v>1089</v>
      </c>
      <c r="D26" t="s">
        <v>154</v>
      </c>
      <c r="G26">
        <v>27</v>
      </c>
    </row>
    <row r="27" spans="3:7" ht="12.75">
      <c r="C27" t="s">
        <v>1090</v>
      </c>
      <c r="D27" t="s">
        <v>1091</v>
      </c>
      <c r="G27">
        <v>28</v>
      </c>
    </row>
    <row r="28" spans="3:7" ht="12.75">
      <c r="C28" t="s">
        <v>1092</v>
      </c>
      <c r="D28" t="s">
        <v>1093</v>
      </c>
      <c r="G28">
        <v>29</v>
      </c>
    </row>
    <row r="29" spans="3:7" ht="12.75">
      <c r="C29" t="s">
        <v>1094</v>
      </c>
      <c r="D29" t="s">
        <v>113</v>
      </c>
      <c r="G29">
        <v>30</v>
      </c>
    </row>
    <row r="30" spans="3:7" ht="12.75">
      <c r="C30" t="s">
        <v>1095</v>
      </c>
      <c r="D30" t="s">
        <v>141</v>
      </c>
      <c r="G30">
        <v>31</v>
      </c>
    </row>
    <row r="31" spans="3:7" ht="12.75">
      <c r="C31" t="s">
        <v>1096</v>
      </c>
      <c r="D31" t="s">
        <v>1097</v>
      </c>
      <c r="G31">
        <v>32</v>
      </c>
    </row>
    <row r="32" spans="3:7" ht="12.75">
      <c r="C32" t="s">
        <v>1098</v>
      </c>
      <c r="D32" t="s">
        <v>940</v>
      </c>
      <c r="G32">
        <v>33</v>
      </c>
    </row>
    <row r="33" spans="3:7" ht="12.75">
      <c r="C33" t="s">
        <v>1099</v>
      </c>
      <c r="D33" t="s">
        <v>1100</v>
      </c>
      <c r="G33">
        <v>34</v>
      </c>
    </row>
    <row r="34" spans="3:7" ht="12.75">
      <c r="C34" t="s">
        <v>1101</v>
      </c>
      <c r="E34">
        <f>'IWA Summary'!H49</f>
        <v>0</v>
      </c>
      <c r="G34">
        <v>43</v>
      </c>
    </row>
    <row r="35" spans="3:7" ht="12.75">
      <c r="C35" t="s">
        <v>1102</v>
      </c>
      <c r="E35">
        <f>'IWA Summary'!H50</f>
        <v>0</v>
      </c>
      <c r="G35">
        <v>44</v>
      </c>
    </row>
    <row r="36" spans="3:7" ht="12.75">
      <c r="C36" t="s">
        <v>1103</v>
      </c>
      <c r="E36">
        <f>'IWA Summary'!H51</f>
        <v>0</v>
      </c>
      <c r="G36">
        <v>45</v>
      </c>
    </row>
    <row r="37" spans="3:7" ht="12.75">
      <c r="C37" t="s">
        <v>1104</v>
      </c>
      <c r="E37">
        <f>'IWA Summary'!H52</f>
        <v>0</v>
      </c>
      <c r="G37">
        <v>46</v>
      </c>
    </row>
    <row r="38" spans="3:7" ht="12.75">
      <c r="C38" t="s">
        <v>1105</v>
      </c>
      <c r="E38">
        <f>'IWA Summary'!H53</f>
        <v>0</v>
      </c>
      <c r="G38">
        <v>47</v>
      </c>
    </row>
    <row r="39" spans="3:7" ht="12.75">
      <c r="C39" t="s">
        <v>1106</v>
      </c>
      <c r="E39">
        <f>'IWA Summary'!H54</f>
        <v>0</v>
      </c>
      <c r="G39">
        <v>48</v>
      </c>
    </row>
    <row r="40" spans="3:7" ht="12.75">
      <c r="C40" t="s">
        <v>1107</v>
      </c>
      <c r="E40">
        <f>'IWA Summary'!H55</f>
        <v>0</v>
      </c>
      <c r="G40">
        <v>49</v>
      </c>
    </row>
    <row r="41" spans="3:7" ht="12.75">
      <c r="C41" t="s">
        <v>1108</v>
      </c>
      <c r="E41">
        <f>'IWA Summary'!H56</f>
        <v>0</v>
      </c>
      <c r="G41">
        <v>50</v>
      </c>
    </row>
    <row r="42" spans="3:7" ht="12.75">
      <c r="C42" t="s">
        <v>1109</v>
      </c>
      <c r="E42">
        <f>'IWA Summary'!H57</f>
        <v>0</v>
      </c>
      <c r="G42">
        <v>51</v>
      </c>
    </row>
    <row r="43" spans="3:7" ht="12.75">
      <c r="C43" t="s">
        <v>1110</v>
      </c>
      <c r="E43">
        <f>'IWA Summary'!H58</f>
        <v>0</v>
      </c>
      <c r="G43">
        <v>52</v>
      </c>
    </row>
    <row r="44" spans="3:7" ht="12.75">
      <c r="C44" t="s">
        <v>1111</v>
      </c>
      <c r="D44" t="s">
        <v>1112</v>
      </c>
      <c r="E44">
        <f>'IWA Summary'!J59</f>
        <v>0</v>
      </c>
      <c r="G44">
        <v>53</v>
      </c>
    </row>
    <row r="45" spans="3:7" ht="12.75">
      <c r="C45" t="s">
        <v>1113</v>
      </c>
      <c r="D45" t="s">
        <v>1114</v>
      </c>
      <c r="G45">
        <v>56</v>
      </c>
    </row>
    <row r="46" spans="3:7" ht="12.75">
      <c r="C46" t="s">
        <v>1115</v>
      </c>
      <c r="D46" t="s">
        <v>1114</v>
      </c>
      <c r="G46">
        <v>57</v>
      </c>
    </row>
    <row r="47" spans="3:7" ht="12.75">
      <c r="C47" t="s">
        <v>1116</v>
      </c>
      <c r="D47" t="s">
        <v>1114</v>
      </c>
      <c r="G47">
        <v>58</v>
      </c>
    </row>
    <row r="48" spans="3:7" ht="12.75">
      <c r="C48" t="s">
        <v>1117</v>
      </c>
      <c r="D48" t="s">
        <v>1114</v>
      </c>
      <c r="G48">
        <v>59</v>
      </c>
    </row>
    <row r="49" spans="3:7" ht="12.75">
      <c r="C49" t="s">
        <v>1118</v>
      </c>
      <c r="D49" t="s">
        <v>1114</v>
      </c>
      <c r="G49">
        <v>60</v>
      </c>
    </row>
    <row r="50" spans="3:7" ht="12.75">
      <c r="C50" t="s">
        <v>1119</v>
      </c>
      <c r="D50" t="s">
        <v>1114</v>
      </c>
      <c r="G50">
        <v>61</v>
      </c>
    </row>
    <row r="51" spans="3:7" ht="12.75">
      <c r="C51" t="s">
        <v>1120</v>
      </c>
      <c r="D51" t="s">
        <v>1114</v>
      </c>
      <c r="G51">
        <v>62</v>
      </c>
    </row>
    <row r="52" spans="3:7" ht="12.75">
      <c r="C52" t="s">
        <v>1121</v>
      </c>
      <c r="D52" t="s">
        <v>1114</v>
      </c>
      <c r="G52">
        <v>63</v>
      </c>
    </row>
    <row r="53" spans="3:7" ht="12.75">
      <c r="C53" t="s">
        <v>1122</v>
      </c>
      <c r="D53" t="s">
        <v>141</v>
      </c>
      <c r="E53">
        <f>Results!N11</f>
        <v>29.99999999999997</v>
      </c>
      <c r="F53">
        <f>Results!O11</f>
        <v>0</v>
      </c>
      <c r="G53">
        <v>64</v>
      </c>
    </row>
    <row r="54" spans="3:7" ht="12.75">
      <c r="C54" t="s">
        <v>1123</v>
      </c>
      <c r="D54" t="s">
        <v>141</v>
      </c>
      <c r="E54">
        <f>Results!N21</f>
        <v>23</v>
      </c>
      <c r="F54">
        <f>Results!O21</f>
        <v>0</v>
      </c>
      <c r="G54">
        <v>65</v>
      </c>
    </row>
    <row r="55" spans="3:7" ht="12.75">
      <c r="C55" t="s">
        <v>1124</v>
      </c>
      <c r="D55" t="s">
        <v>141</v>
      </c>
      <c r="E55" s="406">
        <f>Results!N12</f>
        <v>28.84615384615382</v>
      </c>
      <c r="F55">
        <f>Results!O12</f>
        <v>0</v>
      </c>
      <c r="G55">
        <v>66</v>
      </c>
    </row>
    <row r="56" spans="3:7" ht="12.75">
      <c r="C56" t="s">
        <v>1125</v>
      </c>
      <c r="D56" t="s">
        <v>141</v>
      </c>
      <c r="E56" s="406">
        <f>Results!N22</f>
        <v>22.115384615384617</v>
      </c>
      <c r="F56">
        <f>Results!O22</f>
        <v>0</v>
      </c>
      <c r="G56">
        <v>67</v>
      </c>
    </row>
    <row r="57" spans="3:7" ht="12.75">
      <c r="C57" t="s">
        <v>1126</v>
      </c>
      <c r="D57" t="s">
        <v>113</v>
      </c>
      <c r="E57">
        <f>Results!N32</f>
        <v>0.27741628497767307</v>
      </c>
      <c r="F57" s="407" t="e">
        <f>Results!O32</f>
        <v>#DIV/0!</v>
      </c>
      <c r="G57">
        <v>68</v>
      </c>
    </row>
    <row r="58" spans="3:7" ht="12.75">
      <c r="C58" t="s">
        <v>1127</v>
      </c>
      <c r="D58" t="s">
        <v>1128</v>
      </c>
      <c r="E58" s="406">
        <f>Results!N15</f>
        <v>66.06120629040832</v>
      </c>
      <c r="F58" t="e">
        <f>Results!O15</f>
        <v>#DIV/0!</v>
      </c>
      <c r="G58">
        <v>69</v>
      </c>
    </row>
    <row r="59" spans="3:7" ht="12.75">
      <c r="C59" t="s">
        <v>1129</v>
      </c>
      <c r="D59" t="s">
        <v>1128</v>
      </c>
      <c r="E59" s="406">
        <f>Results!N25</f>
        <v>78.57619372488324</v>
      </c>
      <c r="F59" t="e">
        <f>Results!O25</f>
        <v>#DIV/0!</v>
      </c>
      <c r="G59">
        <v>70</v>
      </c>
    </row>
    <row r="60" spans="3:7" ht="12.75">
      <c r="C60" t="s">
        <v>1130</v>
      </c>
      <c r="D60" t="s">
        <v>1128</v>
      </c>
      <c r="E60" s="406">
        <f>Results!N16</f>
        <v>63.52039066385416</v>
      </c>
      <c r="F60" t="e">
        <f>Results!O16</f>
        <v>#DIV/0!</v>
      </c>
      <c r="G60">
        <v>71</v>
      </c>
    </row>
    <row r="61" spans="3:7" ht="12.75">
      <c r="C61" t="s">
        <v>1131</v>
      </c>
      <c r="D61" t="s">
        <v>1128</v>
      </c>
      <c r="E61" s="406">
        <f>Results!N26</f>
        <v>75.55403242777236</v>
      </c>
      <c r="F61" t="e">
        <f>Results!O26</f>
        <v>#DIV/0!</v>
      </c>
      <c r="G61">
        <v>72</v>
      </c>
    </row>
    <row r="62" spans="3:7" ht="12.75">
      <c r="C62" t="s">
        <v>1132</v>
      </c>
      <c r="D62" t="s">
        <v>1133</v>
      </c>
      <c r="E62" s="406">
        <f>Results!N17</f>
        <v>1169.6644736842106</v>
      </c>
      <c r="F62" t="e">
        <f>Results!O17</f>
        <v>#DIV/0!</v>
      </c>
      <c r="G62">
        <v>73</v>
      </c>
    </row>
    <row r="63" spans="3:7" ht="12.75">
      <c r="C63" t="s">
        <v>1134</v>
      </c>
      <c r="D63" t="s">
        <v>1133</v>
      </c>
      <c r="E63" s="406">
        <f>Results!N27</f>
        <v>1391.251953125</v>
      </c>
      <c r="F63" t="e">
        <f>Results!O27</f>
        <v>#DIV/0!</v>
      </c>
      <c r="G63">
        <v>74</v>
      </c>
    </row>
    <row r="64" spans="3:7" ht="12.75">
      <c r="C64" t="s">
        <v>169</v>
      </c>
      <c r="E64" s="406">
        <f>Results!N36</f>
        <v>1.4588342061169812</v>
      </c>
      <c r="F64" t="e">
        <f>Results!O36</f>
        <v>#DIV/0!</v>
      </c>
      <c r="G64">
        <v>75</v>
      </c>
    </row>
    <row r="65" spans="3:7" ht="12.75">
      <c r="C65" t="s">
        <v>1135</v>
      </c>
      <c r="D65" t="s">
        <v>154</v>
      </c>
      <c r="E65" s="406">
        <f>Results!N23</f>
        <v>16.818984610008453</v>
      </c>
      <c r="F65" t="e">
        <f>Results!O23</f>
        <v>#DIV/0!</v>
      </c>
      <c r="G65">
        <v>76</v>
      </c>
    </row>
    <row r="66" spans="3:7" ht="12.75">
      <c r="C66" t="s">
        <v>1136</v>
      </c>
      <c r="D66" t="s">
        <v>154</v>
      </c>
      <c r="E66" s="406">
        <f>Results!N13</f>
        <v>10.72788820100649</v>
      </c>
      <c r="F66" t="e">
        <f>Results!O13</f>
        <v>#DIV/0!</v>
      </c>
      <c r="G66">
        <v>77</v>
      </c>
    </row>
    <row r="67" spans="3:7" ht="12.75">
      <c r="C67" t="s">
        <v>1137</v>
      </c>
      <c r="D67" t="s">
        <v>154</v>
      </c>
      <c r="E67" s="406">
        <f>Results!N31</f>
        <v>7.353740511446604</v>
      </c>
      <c r="F67" t="e">
        <f>Results!O31</f>
        <v>#DIV/0!</v>
      </c>
      <c r="G67">
        <v>78</v>
      </c>
    </row>
    <row r="68" ht="12.75">
      <c r="C68" t="s">
        <v>1137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P54"/>
  <sheetViews>
    <sheetView showGridLines="0" zoomScale="75" zoomScaleNormal="75" zoomScalePageLayoutView="0" workbookViewId="0" topLeftCell="A1">
      <selection activeCell="B4" sqref="B4"/>
    </sheetView>
  </sheetViews>
  <sheetFormatPr defaultColWidth="9.140625" defaultRowHeight="12.75"/>
  <cols>
    <col min="1" max="1" width="9.140625" style="259" customWidth="1"/>
    <col min="2" max="2" width="21.28125" style="259" customWidth="1"/>
    <col min="3" max="3" width="20.7109375" style="259" customWidth="1"/>
    <col min="4" max="4" width="5.8515625" style="259" customWidth="1"/>
    <col min="5" max="5" width="20.7109375" style="259" customWidth="1"/>
    <col min="6" max="7" width="9.140625" style="259" customWidth="1"/>
    <col min="8" max="8" width="20.7109375" style="259" customWidth="1"/>
    <col min="9" max="9" width="5.7109375" style="259" customWidth="1"/>
    <col min="10" max="10" width="20.7109375" style="259" customWidth="1"/>
    <col min="11" max="11" width="7.57421875" style="259" customWidth="1"/>
    <col min="12" max="12" width="8.57421875" style="259" customWidth="1"/>
    <col min="13" max="13" width="20.7109375" style="259" customWidth="1"/>
    <col min="14" max="14" width="5.140625" style="259" customWidth="1"/>
    <col min="15" max="15" width="20.7109375" style="259" customWidth="1"/>
    <col min="16" max="16384" width="9.140625" style="259" customWidth="1"/>
  </cols>
  <sheetData>
    <row r="1" spans="1:4" ht="33" customHeight="1">
      <c r="A1" s="278" t="s">
        <v>773</v>
      </c>
      <c r="D1" s="259" t="str">
        <f>"Version "&amp;version</f>
        <v>Version 4.2.3</v>
      </c>
    </row>
    <row r="2" ht="15.75" thickBot="1">
      <c r="A2" s="213" t="s">
        <v>754</v>
      </c>
    </row>
    <row r="3" spans="1:16" ht="26.25" customHeight="1">
      <c r="A3" s="259" t="s">
        <v>757</v>
      </c>
      <c r="C3" s="260"/>
      <c r="E3" s="261"/>
      <c r="F3" s="262"/>
      <c r="G3" s="263"/>
      <c r="I3" s="264" t="s">
        <v>758</v>
      </c>
      <c r="J3" s="265"/>
      <c r="K3" s="265"/>
      <c r="L3" s="265"/>
      <c r="M3" s="265"/>
      <c r="N3" s="265"/>
      <c r="O3" s="266"/>
      <c r="P3" s="261"/>
    </row>
    <row r="4" spans="5:16" ht="21" customHeight="1">
      <c r="E4" s="261"/>
      <c r="F4" s="267"/>
      <c r="G4" s="268"/>
      <c r="I4" s="269"/>
      <c r="J4" s="261"/>
      <c r="K4" s="261"/>
      <c r="L4" s="261"/>
      <c r="M4" s="261"/>
      <c r="N4" s="261"/>
      <c r="O4" s="270"/>
      <c r="P4" s="261"/>
    </row>
    <row r="5" spans="1:16" ht="26.25" customHeight="1">
      <c r="A5" s="259" t="s">
        <v>767</v>
      </c>
      <c r="C5" s="260"/>
      <c r="E5" s="267"/>
      <c r="F5" s="262"/>
      <c r="G5" s="262"/>
      <c r="I5" s="269" t="s">
        <v>36</v>
      </c>
      <c r="J5" s="261"/>
      <c r="K5" s="261"/>
      <c r="L5" s="261"/>
      <c r="M5" s="261"/>
      <c r="N5" s="261"/>
      <c r="O5" s="270"/>
      <c r="P5" s="261"/>
    </row>
    <row r="6" spans="5:16" ht="26.25" customHeight="1">
      <c r="E6" s="267"/>
      <c r="F6" s="262"/>
      <c r="G6" s="262"/>
      <c r="I6" s="269" t="s">
        <v>698</v>
      </c>
      <c r="J6" s="261"/>
      <c r="K6" s="261"/>
      <c r="L6" s="261"/>
      <c r="M6" s="261"/>
      <c r="N6" s="261"/>
      <c r="O6" s="270"/>
      <c r="P6" s="261"/>
    </row>
    <row r="7" spans="1:16" ht="26.25" customHeight="1">
      <c r="A7" s="259" t="s">
        <v>759</v>
      </c>
      <c r="C7" s="260"/>
      <c r="I7" s="269" t="s">
        <v>27</v>
      </c>
      <c r="J7" s="261"/>
      <c r="K7" s="261"/>
      <c r="L7" s="261"/>
      <c r="M7" s="261"/>
      <c r="N7" s="261"/>
      <c r="O7" s="270"/>
      <c r="P7" s="261"/>
    </row>
    <row r="8" spans="9:16" ht="12.75" customHeight="1">
      <c r="I8" s="269"/>
      <c r="J8" s="261"/>
      <c r="K8" s="261"/>
      <c r="L8" s="261"/>
      <c r="M8" s="261"/>
      <c r="N8" s="261"/>
      <c r="O8" s="270"/>
      <c r="P8" s="261"/>
    </row>
    <row r="9" spans="1:16" ht="26.25" customHeight="1">
      <c r="A9" s="259" t="s">
        <v>768</v>
      </c>
      <c r="C9" s="260"/>
      <c r="I9" s="269" t="s">
        <v>50</v>
      </c>
      <c r="J9" s="261"/>
      <c r="K9" s="261"/>
      <c r="L9" s="261"/>
      <c r="M9" s="261"/>
      <c r="N9" s="261"/>
      <c r="O9" s="270"/>
      <c r="P9" s="261"/>
    </row>
    <row r="10" spans="9:16" ht="12.75" customHeight="1">
      <c r="I10" s="269"/>
      <c r="J10" s="261"/>
      <c r="K10" s="261"/>
      <c r="L10" s="261"/>
      <c r="M10" s="261"/>
      <c r="N10" s="261"/>
      <c r="O10" s="270"/>
      <c r="P10" s="261"/>
    </row>
    <row r="11" spans="3:16" ht="26.25" customHeight="1">
      <c r="C11" s="261"/>
      <c r="I11" s="269" t="s">
        <v>760</v>
      </c>
      <c r="J11" s="261"/>
      <c r="K11" s="261"/>
      <c r="L11" s="261"/>
      <c r="M11" s="261"/>
      <c r="N11" s="261"/>
      <c r="O11" s="270"/>
      <c r="P11" s="261"/>
    </row>
    <row r="12" spans="9:16" ht="12.75" customHeight="1">
      <c r="I12" s="269"/>
      <c r="J12" s="261"/>
      <c r="K12" s="261"/>
      <c r="L12" s="261"/>
      <c r="M12" s="261"/>
      <c r="N12" s="261"/>
      <c r="O12" s="270"/>
      <c r="P12" s="261"/>
    </row>
    <row r="13" spans="1:16" ht="26.25" customHeight="1">
      <c r="A13" s="259" t="s">
        <v>762</v>
      </c>
      <c r="C13" s="260"/>
      <c r="I13" s="269" t="s">
        <v>761</v>
      </c>
      <c r="J13" s="261"/>
      <c r="K13" s="261"/>
      <c r="L13" s="261"/>
      <c r="M13" s="261"/>
      <c r="N13" s="261"/>
      <c r="O13" s="270"/>
      <c r="P13" s="261"/>
    </row>
    <row r="14" spans="1:16" ht="25.5" customHeight="1">
      <c r="A14" s="259" t="s">
        <v>763</v>
      </c>
      <c r="C14" s="271"/>
      <c r="I14" s="269"/>
      <c r="J14" s="261"/>
      <c r="K14" s="261"/>
      <c r="L14" s="261"/>
      <c r="M14" s="261"/>
      <c r="N14" s="261"/>
      <c r="O14" s="270"/>
      <c r="P14" s="261"/>
    </row>
    <row r="15" spans="1:16" ht="26.25" customHeight="1">
      <c r="A15" s="259" t="s">
        <v>764</v>
      </c>
      <c r="C15" s="271"/>
      <c r="I15" s="269"/>
      <c r="J15" s="261"/>
      <c r="K15" s="261"/>
      <c r="L15" s="261"/>
      <c r="M15" s="261"/>
      <c r="N15" s="261"/>
      <c r="O15" s="270"/>
      <c r="P15" s="261"/>
    </row>
    <row r="16" spans="1:16" ht="26.25" customHeight="1">
      <c r="A16" s="259" t="s">
        <v>765</v>
      </c>
      <c r="C16" s="271"/>
      <c r="I16" s="269"/>
      <c r="J16" s="261"/>
      <c r="K16" s="261"/>
      <c r="L16" s="261"/>
      <c r="M16" s="261"/>
      <c r="N16" s="261"/>
      <c r="O16" s="270"/>
      <c r="P16" s="261"/>
    </row>
    <row r="17" spans="9:15" ht="8.25" customHeight="1">
      <c r="I17" s="269"/>
      <c r="J17" s="261"/>
      <c r="K17" s="261"/>
      <c r="L17" s="261"/>
      <c r="M17" s="261"/>
      <c r="N17" s="261"/>
      <c r="O17" s="270"/>
    </row>
    <row r="18" spans="1:15" ht="26.25" customHeight="1">
      <c r="A18" s="259" t="s">
        <v>766</v>
      </c>
      <c r="C18" s="260"/>
      <c r="I18" s="269"/>
      <c r="J18" s="261"/>
      <c r="K18" s="261"/>
      <c r="L18" s="261"/>
      <c r="M18" s="261"/>
      <c r="N18" s="261"/>
      <c r="O18" s="270"/>
    </row>
    <row r="19" spans="9:15" ht="7.5" customHeight="1">
      <c r="I19" s="269"/>
      <c r="J19" s="261"/>
      <c r="K19" s="261"/>
      <c r="L19" s="261"/>
      <c r="M19" s="261"/>
      <c r="N19" s="261"/>
      <c r="O19" s="270"/>
    </row>
    <row r="20" spans="1:15" ht="26.25" customHeight="1" thickBot="1">
      <c r="A20" s="259" t="s">
        <v>769</v>
      </c>
      <c r="C20" s="260"/>
      <c r="E20" s="277"/>
      <c r="I20" s="272"/>
      <c r="J20" s="273"/>
      <c r="K20" s="273"/>
      <c r="L20" s="273"/>
      <c r="M20" s="273"/>
      <c r="N20" s="273"/>
      <c r="O20" s="274"/>
    </row>
    <row r="21" ht="12.75" customHeight="1">
      <c r="A21" s="259" t="s">
        <v>770</v>
      </c>
    </row>
    <row r="22" ht="12.75" customHeight="1"/>
    <row r="23" spans="1:3" ht="26.25" customHeight="1">
      <c r="A23" s="259" t="s">
        <v>830</v>
      </c>
      <c r="C23" s="260"/>
    </row>
    <row r="24" ht="8.25" customHeight="1">
      <c r="C24" s="261"/>
    </row>
    <row r="25" spans="1:3" ht="26.25" customHeight="1">
      <c r="A25" s="259" t="s">
        <v>831</v>
      </c>
      <c r="C25" s="260"/>
    </row>
    <row r="26" ht="8.25" customHeight="1">
      <c r="C26" s="261"/>
    </row>
    <row r="27" spans="1:3" ht="26.25" customHeight="1">
      <c r="A27" s="259" t="s">
        <v>832</v>
      </c>
      <c r="C27" s="260"/>
    </row>
    <row r="28" spans="1:3" s="394" customFormat="1" ht="26.25" customHeight="1">
      <c r="A28" s="394" t="s">
        <v>833</v>
      </c>
      <c r="C28" s="263"/>
    </row>
    <row r="29" spans="3:15" s="275" customFormat="1" ht="21" customHeight="1">
      <c r="C29" s="622" t="s">
        <v>682</v>
      </c>
      <c r="D29" s="622"/>
      <c r="E29" s="622"/>
      <c r="H29" s="622" t="s">
        <v>683</v>
      </c>
      <c r="I29" s="622"/>
      <c r="J29" s="622"/>
      <c r="M29" s="622" t="s">
        <v>684</v>
      </c>
      <c r="N29" s="622"/>
      <c r="O29" s="622"/>
    </row>
    <row r="30" spans="3:15" ht="21" customHeight="1">
      <c r="C30" s="276" t="s">
        <v>3</v>
      </c>
      <c r="D30" s="276"/>
      <c r="E30" s="276" t="s">
        <v>685</v>
      </c>
      <c r="F30" s="276"/>
      <c r="G30" s="276"/>
      <c r="H30" s="276" t="s">
        <v>3</v>
      </c>
      <c r="I30" s="276"/>
      <c r="J30" s="276" t="s">
        <v>685</v>
      </c>
      <c r="K30" s="276"/>
      <c r="L30" s="276"/>
      <c r="M30" s="276" t="s">
        <v>3</v>
      </c>
      <c r="N30" s="276"/>
      <c r="O30" s="276" t="s">
        <v>685</v>
      </c>
    </row>
    <row r="31" ht="12.75" customHeight="1"/>
    <row r="32" spans="1:15" ht="26.25" customHeight="1">
      <c r="A32" s="259" t="s">
        <v>686</v>
      </c>
      <c r="C32" s="260"/>
      <c r="E32" s="260"/>
      <c r="H32" s="260"/>
      <c r="J32" s="260"/>
      <c r="M32" s="260"/>
      <c r="O32" s="260"/>
    </row>
    <row r="33" ht="12.75" customHeight="1"/>
    <row r="34" spans="1:15" ht="26.25" customHeight="1">
      <c r="A34" s="338" t="s">
        <v>873</v>
      </c>
      <c r="C34" s="260"/>
      <c r="E34" s="260"/>
      <c r="H34" s="260"/>
      <c r="J34" s="260"/>
      <c r="M34" s="260"/>
      <c r="O34" s="260"/>
    </row>
    <row r="35" ht="12.75" customHeight="1"/>
    <row r="36" spans="1:15" ht="26.25" customHeight="1">
      <c r="A36" s="259" t="s">
        <v>687</v>
      </c>
      <c r="C36" s="260"/>
      <c r="E36" s="260"/>
      <c r="H36" s="260"/>
      <c r="J36" s="260"/>
      <c r="M36" s="260"/>
      <c r="O36" s="260"/>
    </row>
    <row r="37" spans="1:15" ht="26.25" customHeight="1">
      <c r="A37" s="259" t="s">
        <v>688</v>
      </c>
      <c r="C37" s="271"/>
      <c r="E37" s="271"/>
      <c r="H37" s="271"/>
      <c r="J37" s="271"/>
      <c r="M37" s="271"/>
      <c r="O37" s="271"/>
    </row>
    <row r="38" spans="1:15" ht="26.25" customHeight="1">
      <c r="A38" s="259" t="s">
        <v>689</v>
      </c>
      <c r="C38" s="271"/>
      <c r="E38" s="271"/>
      <c r="H38" s="271"/>
      <c r="J38" s="271"/>
      <c r="M38" s="271"/>
      <c r="O38" s="271"/>
    </row>
    <row r="39" spans="1:15" ht="26.25" customHeight="1">
      <c r="A39" s="259" t="s">
        <v>690</v>
      </c>
      <c r="C39" s="271"/>
      <c r="E39" s="271"/>
      <c r="H39" s="271"/>
      <c r="J39" s="271"/>
      <c r="M39" s="271"/>
      <c r="O39" s="271"/>
    </row>
    <row r="40" ht="12.75" customHeight="1"/>
    <row r="41" spans="1:15" ht="26.25" customHeight="1">
      <c r="A41" s="259" t="s">
        <v>691</v>
      </c>
      <c r="C41" s="260"/>
      <c r="E41" s="260"/>
      <c r="H41" s="260"/>
      <c r="J41" s="260"/>
      <c r="M41" s="260"/>
      <c r="O41" s="260"/>
    </row>
    <row r="42" spans="1:15" ht="26.25" customHeight="1">
      <c r="A42" s="259" t="s">
        <v>692</v>
      </c>
      <c r="C42" s="271"/>
      <c r="E42" s="271"/>
      <c r="H42" s="271"/>
      <c r="J42" s="271"/>
      <c r="M42" s="271"/>
      <c r="O42" s="271"/>
    </row>
    <row r="43" spans="1:15" ht="26.25" customHeight="1">
      <c r="A43" s="259" t="s">
        <v>693</v>
      </c>
      <c r="C43" s="271"/>
      <c r="E43" s="271"/>
      <c r="H43" s="271"/>
      <c r="J43" s="271"/>
      <c r="M43" s="271"/>
      <c r="O43" s="271"/>
    </row>
    <row r="44" spans="1:15" ht="26.25" customHeight="1">
      <c r="A44" s="259" t="s">
        <v>694</v>
      </c>
      <c r="C44" s="271"/>
      <c r="E44" s="271"/>
      <c r="H44" s="271"/>
      <c r="J44" s="271"/>
      <c r="M44" s="271"/>
      <c r="O44" s="271"/>
    </row>
    <row r="45" spans="3:15" ht="12.75" customHeight="1">
      <c r="C45" s="261"/>
      <c r="E45" s="261"/>
      <c r="H45" s="261"/>
      <c r="J45" s="261"/>
      <c r="M45" s="261"/>
      <c r="O45" s="261"/>
    </row>
    <row r="46" spans="1:13" ht="26.25" customHeight="1">
      <c r="A46" s="259" t="s">
        <v>695</v>
      </c>
      <c r="C46" s="260"/>
      <c r="H46" s="260"/>
      <c r="M46" s="271"/>
    </row>
    <row r="47" ht="12.75" customHeight="1"/>
    <row r="48" spans="1:15" ht="26.25" customHeight="1">
      <c r="A48" s="259" t="s">
        <v>826</v>
      </c>
      <c r="E48" s="260"/>
      <c r="J48" s="260"/>
      <c r="O48" s="260"/>
    </row>
    <row r="49" ht="12.75" customHeight="1"/>
    <row r="50" spans="1:15" ht="26.25" customHeight="1">
      <c r="A50" s="259" t="s">
        <v>827</v>
      </c>
      <c r="E50" s="260"/>
      <c r="J50" s="260"/>
      <c r="O50" s="260"/>
    </row>
    <row r="51" ht="12.75" customHeight="1"/>
    <row r="52" spans="1:15" ht="26.25" customHeight="1">
      <c r="A52" s="259" t="s">
        <v>828</v>
      </c>
      <c r="E52" s="260"/>
      <c r="J52" s="260"/>
      <c r="O52" s="260"/>
    </row>
    <row r="54" spans="1:15" ht="25.5" customHeight="1">
      <c r="A54" s="338" t="s">
        <v>971</v>
      </c>
      <c r="E54" s="260"/>
      <c r="J54" s="260"/>
      <c r="O54" s="260"/>
    </row>
  </sheetData>
  <sheetProtection/>
  <mergeCells count="3">
    <mergeCell ref="C29:E29"/>
    <mergeCell ref="H29:J29"/>
    <mergeCell ref="M29:O29"/>
  </mergeCells>
  <printOptions/>
  <pageMargins left="0.75" right="0.75" top="1" bottom="1" header="0.5" footer="0.5"/>
  <pageSetup fitToHeight="1" fitToWidth="1" horizontalDpi="600" verticalDpi="600" orientation="landscape" scale="42" r:id="rId1"/>
</worksheet>
</file>

<file path=xl/worksheets/sheet3.xml><?xml version="1.0" encoding="utf-8"?>
<worksheet xmlns="http://schemas.openxmlformats.org/spreadsheetml/2006/main" xmlns:r="http://schemas.openxmlformats.org/officeDocument/2006/relationships">
  <sheetPr codeName="Sheet1"/>
  <dimension ref="A1:DU82"/>
  <sheetViews>
    <sheetView showGridLines="0" showZeros="0" tabSelected="1" zoomScale="80" zoomScaleNormal="80" zoomScaleSheetLayoutView="100" zoomScalePageLayoutView="0" workbookViewId="0" topLeftCell="I1">
      <selection activeCell="AS10" sqref="AS10:BB22"/>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2" width="1.7109375" style="0" customWidth="1"/>
    <col min="53" max="53" width="8.00390625" style="0" bestFit="1"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#1"</f>
        <v>WATER BOILING TEST - VERSION 4.2.3 - TEST #1</v>
      </c>
      <c r="B2" s="638"/>
      <c r="C2" s="638"/>
      <c r="D2" s="638"/>
      <c r="E2" s="638"/>
      <c r="F2" s="638"/>
      <c r="G2" s="638"/>
      <c r="H2" s="638"/>
      <c r="I2" s="638"/>
      <c r="J2" s="638"/>
      <c r="K2" s="638"/>
      <c r="L2" s="638"/>
      <c r="M2" s="638"/>
      <c r="N2" s="638"/>
      <c r="O2" s="638"/>
      <c r="P2" s="638"/>
      <c r="Q2" s="638"/>
      <c r="R2" s="638"/>
      <c r="S2" s="638"/>
      <c r="T2" s="10"/>
      <c r="U2" s="293" t="str">
        <f>"TEST #1 "&amp;D7</f>
        <v>TEST #1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v>0.4166666666666667</v>
      </c>
      <c r="X6" s="43" t="s">
        <v>14</v>
      </c>
      <c r="Y6" s="44"/>
      <c r="Z6" s="43"/>
      <c r="AA6" s="42">
        <v>0.4375</v>
      </c>
      <c r="AB6" s="45" t="s">
        <v>15</v>
      </c>
      <c r="AC6" s="45"/>
      <c r="AD6" s="12"/>
      <c r="AE6" s="42">
        <v>0.4388888888888889</v>
      </c>
      <c r="AF6" s="43" t="s">
        <v>16</v>
      </c>
      <c r="AG6" s="46"/>
      <c r="AH6" s="13"/>
      <c r="AI6" s="42">
        <v>0.4548611111111111</v>
      </c>
      <c r="AJ6" s="45" t="s">
        <v>17</v>
      </c>
      <c r="AK6" s="12"/>
      <c r="AL6" s="42">
        <v>0.45555555555555555</v>
      </c>
      <c r="AM6" s="43" t="s">
        <v>18</v>
      </c>
      <c r="AN6" s="46"/>
      <c r="AO6" s="13"/>
      <c r="AP6" s="42">
        <v>0.48680555555555555</v>
      </c>
      <c r="AQ6" s="45" t="s">
        <v>19</v>
      </c>
      <c r="AR6" s="14"/>
    </row>
    <row r="7" spans="1:44" ht="15.75" customHeight="1">
      <c r="A7" s="25"/>
      <c r="B7" s="2" t="s">
        <v>27</v>
      </c>
      <c r="D7" s="648"/>
      <c r="E7" s="648"/>
      <c r="F7" s="648"/>
      <c r="G7" s="648"/>
      <c r="H7" s="648"/>
      <c r="I7" s="648"/>
      <c r="J7" s="648"/>
      <c r="K7" s="648"/>
      <c r="M7" s="654" t="s">
        <v>970</v>
      </c>
      <c r="N7" s="654"/>
      <c r="O7" s="654"/>
      <c r="P7" s="654"/>
      <c r="Q7" s="303"/>
      <c r="R7" s="303"/>
      <c r="S7" s="15"/>
      <c r="T7" s="28"/>
      <c r="U7" s="30" t="s">
        <v>874</v>
      </c>
      <c r="V7" s="24" t="s">
        <v>20</v>
      </c>
      <c r="W7" s="47">
        <v>1000</v>
      </c>
      <c r="X7" s="43" t="s">
        <v>21</v>
      </c>
      <c r="Y7" s="44"/>
      <c r="Z7" s="43"/>
      <c r="AA7" s="47">
        <v>550</v>
      </c>
      <c r="AB7" s="45" t="s">
        <v>22</v>
      </c>
      <c r="AC7" s="45"/>
      <c r="AD7" s="12"/>
      <c r="AE7" s="47">
        <v>1000</v>
      </c>
      <c r="AF7" s="43" t="s">
        <v>23</v>
      </c>
      <c r="AG7" s="46"/>
      <c r="AH7" s="13"/>
      <c r="AI7" s="47">
        <v>485</v>
      </c>
      <c r="AJ7" s="45" t="s">
        <v>24</v>
      </c>
      <c r="AK7" s="12"/>
      <c r="AL7" s="47">
        <v>485</v>
      </c>
      <c r="AM7" s="43" t="s">
        <v>25</v>
      </c>
      <c r="AN7" s="46"/>
      <c r="AO7" s="13"/>
      <c r="AP7" s="47">
        <v>90</v>
      </c>
      <c r="AQ7" s="45" t="s">
        <v>26</v>
      </c>
      <c r="AR7" s="14"/>
    </row>
    <row r="8" spans="1:44" ht="15.75" customHeight="1">
      <c r="A8" s="25"/>
      <c r="B8" s="2" t="s">
        <v>36</v>
      </c>
      <c r="D8" s="651"/>
      <c r="E8" s="648"/>
      <c r="F8" s="648"/>
      <c r="G8" s="648"/>
      <c r="H8" s="648"/>
      <c r="I8" s="648"/>
      <c r="J8" s="648"/>
      <c r="K8" s="648"/>
      <c r="M8" s="646" t="s">
        <v>954</v>
      </c>
      <c r="N8" s="646"/>
      <c r="O8" s="646"/>
      <c r="P8" s="646"/>
      <c r="Q8" s="303"/>
      <c r="R8" s="303"/>
      <c r="S8" s="15"/>
      <c r="T8" s="28"/>
      <c r="U8" s="30" t="s">
        <v>28</v>
      </c>
      <c r="V8" s="24" t="s">
        <v>29</v>
      </c>
      <c r="W8" s="48">
        <v>20</v>
      </c>
      <c r="X8" s="49" t="s">
        <v>30</v>
      </c>
      <c r="Y8" s="50"/>
      <c r="Z8" s="49"/>
      <c r="AA8" s="48">
        <v>100</v>
      </c>
      <c r="AB8" s="51" t="s">
        <v>31</v>
      </c>
      <c r="AC8" s="51"/>
      <c r="AD8" s="52"/>
      <c r="AE8" s="48">
        <v>20</v>
      </c>
      <c r="AF8" s="49" t="s">
        <v>32</v>
      </c>
      <c r="AG8" s="53"/>
      <c r="AH8" s="54"/>
      <c r="AI8" s="48">
        <v>100</v>
      </c>
      <c r="AJ8" s="45" t="s">
        <v>33</v>
      </c>
      <c r="AK8" s="12"/>
      <c r="AL8" s="48">
        <v>100</v>
      </c>
      <c r="AM8" s="43" t="s">
        <v>34</v>
      </c>
      <c r="AN8" s="46"/>
      <c r="AO8" s="13"/>
      <c r="AP8" s="48">
        <v>93</v>
      </c>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v>5000</v>
      </c>
      <c r="X12" s="43" t="s">
        <v>60</v>
      </c>
      <c r="Y12" s="44"/>
      <c r="Z12" s="43"/>
      <c r="AA12" s="47">
        <v>4750</v>
      </c>
      <c r="AB12" s="45" t="s">
        <v>61</v>
      </c>
      <c r="AC12" s="45"/>
      <c r="AD12" s="12"/>
      <c r="AE12" s="47">
        <v>5000</v>
      </c>
      <c r="AF12" s="43" t="s">
        <v>62</v>
      </c>
      <c r="AG12" s="46"/>
      <c r="AH12" s="13"/>
      <c r="AI12" s="47">
        <v>4800</v>
      </c>
      <c r="AJ12" s="45" t="s">
        <v>63</v>
      </c>
      <c r="AK12" s="12"/>
      <c r="AL12" s="47">
        <v>4800</v>
      </c>
      <c r="AM12" s="56" t="s">
        <v>64</v>
      </c>
      <c r="AN12" s="57"/>
      <c r="AO12" s="61"/>
      <c r="AP12" s="47">
        <v>3995</v>
      </c>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v>0</v>
      </c>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v>80</v>
      </c>
      <c r="AB17" s="45" t="s">
        <v>96</v>
      </c>
      <c r="AC17" s="45"/>
      <c r="AD17" s="12"/>
      <c r="AE17" s="76"/>
      <c r="AF17" s="43"/>
      <c r="AG17" s="46"/>
      <c r="AH17" s="13"/>
      <c r="AI17" s="78">
        <f>AA17</f>
        <v>80</v>
      </c>
      <c r="AJ17" s="45" t="s">
        <v>97</v>
      </c>
      <c r="AK17" s="12"/>
      <c r="AL17" s="2"/>
      <c r="AM17" s="43"/>
      <c r="AN17" s="46"/>
      <c r="AO17" s="13"/>
      <c r="AP17" s="47">
        <v>120</v>
      </c>
      <c r="AQ17" s="45" t="s">
        <v>98</v>
      </c>
      <c r="AR17" s="14"/>
    </row>
    <row r="18" spans="1:49" ht="15" customHeight="1">
      <c r="A18" s="25"/>
      <c r="B18" s="626" t="s">
        <v>815</v>
      </c>
      <c r="C18" s="626"/>
      <c r="D18" s="626"/>
      <c r="E18" s="453"/>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508"/>
      <c r="AB18" s="45" t="s">
        <v>793</v>
      </c>
      <c r="AC18" s="45"/>
      <c r="AD18" s="12"/>
      <c r="AE18" s="76"/>
      <c r="AF18" s="43"/>
      <c r="AG18" s="46"/>
      <c r="AH18" s="13"/>
      <c r="AI18" s="451"/>
      <c r="AJ18" s="45" t="s">
        <v>796</v>
      </c>
      <c r="AK18" s="12"/>
      <c r="AL18" s="2"/>
      <c r="AM18" s="43"/>
      <c r="AN18" s="46"/>
      <c r="AO18" s="13"/>
      <c r="AP18" s="451"/>
      <c r="AQ18" s="45" t="s">
        <v>799</v>
      </c>
      <c r="AR18" s="14"/>
      <c r="AU18" s="71"/>
      <c r="AV18" s="71"/>
      <c r="AW18" s="71"/>
    </row>
    <row r="19" spans="1:49"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c r="AU19" s="43"/>
      <c r="AV19" s="422"/>
      <c r="AW19" s="71"/>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423"/>
      <c r="AE20" s="426"/>
      <c r="AF20" s="425"/>
      <c r="AG20" s="46"/>
      <c r="AH20" s="13"/>
      <c r="AI20" s="451"/>
      <c r="AJ20" s="45" t="s">
        <v>798</v>
      </c>
      <c r="AK20" s="82"/>
      <c r="AL20" s="2"/>
      <c r="AM20" s="43"/>
      <c r="AN20" s="46"/>
      <c r="AO20" s="13"/>
      <c r="AP20" s="451"/>
      <c r="AQ20" s="45" t="s">
        <v>801</v>
      </c>
      <c r="AR20" s="14"/>
    </row>
    <row r="21" spans="1:44" ht="15" customHeight="1">
      <c r="A21" s="25"/>
      <c r="B21" s="637" t="s">
        <v>783</v>
      </c>
      <c r="C21" s="637"/>
      <c r="D21" s="637"/>
      <c r="E21" s="46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09"/>
      <c r="AB21" s="492" t="s">
        <v>945</v>
      </c>
      <c r="AC21" s="45"/>
      <c r="AD21" s="82"/>
      <c r="AE21" s="424"/>
      <c r="AF21" s="425"/>
      <c r="AG21" s="425"/>
      <c r="AH21" s="494"/>
      <c r="AI21" s="509"/>
      <c r="AJ21" s="492" t="s">
        <v>946</v>
      </c>
      <c r="AK21" s="422"/>
      <c r="AL21" s="493"/>
      <c r="AM21" s="425"/>
      <c r="AN21" s="427"/>
      <c r="AO21" s="425"/>
      <c r="AP21" s="509"/>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5" t="s">
        <v>969</v>
      </c>
      <c r="AK22" s="12"/>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73"/>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112</v>
      </c>
      <c r="AF26" s="13"/>
      <c r="AG26" s="13"/>
      <c r="AH26" s="13"/>
      <c r="AI26" s="13"/>
      <c r="AJ26" s="13"/>
      <c r="AK26" s="13"/>
      <c r="AL26" s="13"/>
      <c r="AM26" s="13"/>
      <c r="AN26" s="13"/>
      <c r="AO26" s="13"/>
      <c r="AP26" s="13"/>
      <c r="AQ26" s="13"/>
      <c r="AR26" s="14"/>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450</v>
      </c>
      <c r="X28" s="56" t="s">
        <v>119</v>
      </c>
      <c r="Y28" s="57"/>
      <c r="Z28" s="61"/>
      <c r="AA28" s="93">
        <f>AE7-AI7</f>
        <v>515</v>
      </c>
      <c r="AB28" s="56" t="s">
        <v>120</v>
      </c>
      <c r="AC28" s="56"/>
      <c r="AD28" s="21"/>
      <c r="AE28" s="95" t="s">
        <v>877</v>
      </c>
      <c r="AF28" s="61"/>
      <c r="AG28" s="61"/>
      <c r="AH28" s="61"/>
      <c r="AI28" s="61"/>
      <c r="AJ28" s="61"/>
      <c r="AK28" s="61"/>
      <c r="AL28" s="61"/>
      <c r="AM28" s="92" t="s">
        <v>20</v>
      </c>
      <c r="AN28" s="61"/>
      <c r="AO28" s="61"/>
      <c r="AP28" s="93">
        <f>AL7-AP7</f>
        <v>395</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80</v>
      </c>
      <c r="X29" s="56" t="s">
        <v>972</v>
      </c>
      <c r="Y29" s="57"/>
      <c r="Z29" s="61"/>
      <c r="AA29" s="93">
        <f>IF(AA28=0,0,AI17-$N$19)</f>
        <v>80</v>
      </c>
      <c r="AB29" s="56" t="s">
        <v>124</v>
      </c>
      <c r="AC29" s="56"/>
      <c r="AD29" s="94"/>
      <c r="AE29" s="95" t="s">
        <v>125</v>
      </c>
      <c r="AF29" s="61"/>
      <c r="AG29" s="61"/>
      <c r="AH29" s="61"/>
      <c r="AI29" s="61"/>
      <c r="AJ29" s="61"/>
      <c r="AK29" s="61"/>
      <c r="AL29" s="61"/>
      <c r="AM29" s="92" t="s">
        <v>20</v>
      </c>
      <c r="AN29" s="61"/>
      <c r="AO29" s="61"/>
      <c r="AP29" s="93">
        <f>(AP17-$N$19)-W29</f>
        <v>40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321.8366460301944</v>
      </c>
      <c r="X30" s="368" t="s">
        <v>127</v>
      </c>
      <c r="Y30" s="369"/>
      <c r="Z30" s="370"/>
      <c r="AA30" s="488">
        <f>IF(AA28=0,0,(AA28*($E$20*(1-$E$18)-$E$18*(4.186*($N$20-$E$15)+2257))-AA29*$E23)/$E$20)</f>
        <v>386.8366460301944</v>
      </c>
      <c r="AB30" s="368" t="s">
        <v>128</v>
      </c>
      <c r="AC30" s="368"/>
      <c r="AD30" s="371"/>
      <c r="AE30" s="372" t="s">
        <v>876</v>
      </c>
      <c r="AF30" s="370"/>
      <c r="AG30" s="370"/>
      <c r="AH30" s="370"/>
      <c r="AI30" s="370"/>
      <c r="AJ30" s="370"/>
      <c r="AK30" s="370"/>
      <c r="AL30" s="370"/>
      <c r="AM30" s="373" t="s">
        <v>20</v>
      </c>
      <c r="AN30" s="370"/>
      <c r="AO30" s="370"/>
      <c r="AP30" s="367">
        <f>(AP28*($E$20*(1-$E$18)-$E$18*(4.186*($N$20-$E$15)+2257))-AP29*$E23)/$E$20</f>
        <v>330.9183230150972</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250</v>
      </c>
      <c r="X31" s="56" t="s">
        <v>131</v>
      </c>
      <c r="Y31" s="57"/>
      <c r="Z31" s="61"/>
      <c r="AA31" s="93">
        <f>SUM(AE12:AE15)-SUM(AI12:AI15)</f>
        <v>200</v>
      </c>
      <c r="AB31" s="56" t="s">
        <v>132</v>
      </c>
      <c r="AC31" s="56"/>
      <c r="AD31" s="94"/>
      <c r="AE31" s="95" t="s">
        <v>133</v>
      </c>
      <c r="AF31" s="61"/>
      <c r="AG31" s="61"/>
      <c r="AH31" s="61"/>
      <c r="AI31" s="61"/>
      <c r="AJ31" s="61"/>
      <c r="AK31" s="61"/>
      <c r="AL31" s="61"/>
      <c r="AM31" s="92" t="s">
        <v>20</v>
      </c>
      <c r="AN31" s="61"/>
      <c r="AO31" s="61"/>
      <c r="AP31" s="93">
        <f>(AL12-AP12)+(AL13-AP13)+(AL14-AP14)+(AL15-AP15)</f>
        <v>805</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4871.794871794872</v>
      </c>
      <c r="X32" s="56" t="s">
        <v>136</v>
      </c>
      <c r="Y32" s="57"/>
      <c r="Z32" s="61"/>
      <c r="AA32" s="93">
        <f>((AI12-$N15)*(AI8-AE8)/($N$20-AE8)+(AI13-$N16)*(AI9-AE9)/($N$20-AE9)+(AI14-$N17)*(AI10-AE10)/($N$20-AE10)+(AI15-$N18)*(AI11-AE11)/($N$20-AE11))</f>
        <v>4923.076923076923</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3995</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29.99999999999997</v>
      </c>
      <c r="X33" s="56" t="s">
        <v>142</v>
      </c>
      <c r="Y33" s="57"/>
      <c r="Z33" s="61"/>
      <c r="AA33" s="93">
        <f>(AI6-AE6)*1440</f>
        <v>23</v>
      </c>
      <c r="AB33" s="56" t="s">
        <v>143</v>
      </c>
      <c r="AC33" s="56"/>
      <c r="AD33" s="94"/>
      <c r="AE33" s="95" t="s">
        <v>144</v>
      </c>
      <c r="AF33" s="61"/>
      <c r="AG33" s="61"/>
      <c r="AH33" s="61"/>
      <c r="AI33" s="61"/>
      <c r="AJ33" s="61"/>
      <c r="AK33" s="61"/>
      <c r="AL33" s="61"/>
      <c r="AM33" s="92" t="s">
        <v>141</v>
      </c>
      <c r="AN33" s="61"/>
      <c r="AO33" s="61"/>
      <c r="AP33" s="93">
        <f>(AP6-AL6)*1440</f>
        <v>45</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28.84615384615382</v>
      </c>
      <c r="X34" s="56" t="s">
        <v>147</v>
      </c>
      <c r="Y34" s="57"/>
      <c r="Z34" s="61"/>
      <c r="AA34" s="367">
        <f>AA33*75/(N20-AE8)</f>
        <v>22.115384615384617</v>
      </c>
      <c r="AB34" s="56" t="s">
        <v>148</v>
      </c>
      <c r="AC34" s="56"/>
      <c r="AD34" s="94"/>
      <c r="AE34" s="95" t="s">
        <v>149</v>
      </c>
      <c r="AF34" s="61"/>
      <c r="AG34" s="61"/>
      <c r="AH34" s="61"/>
      <c r="AI34" s="61"/>
      <c r="AJ34" s="61"/>
      <c r="AK34" s="61"/>
      <c r="AL34" s="61"/>
      <c r="AM34" s="92" t="s">
        <v>113</v>
      </c>
      <c r="AN34" s="61"/>
      <c r="AO34" s="61"/>
      <c r="AP34" s="472">
        <f>(4.186*((AL12-$N15+AP32)/2)*(AP8-AL8)+2260*AP31)/(AP30*$E$20)</f>
        <v>0.27741628497767307</v>
      </c>
      <c r="AQ34" s="56" t="s">
        <v>150</v>
      </c>
      <c r="AR34" s="14"/>
    </row>
    <row r="35" spans="1:45"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72">
        <f>(4.186*SUM((W12-$N15)*(AA8-W8),(W13-$N16)*(AA9-W9),(W14-$N17)*(AA10-W10),(W15-$N18)*(AA11-W11))+2260*W31)/(W30*$E20)</f>
        <v>0.3778748966471491</v>
      </c>
      <c r="X35" s="56" t="s">
        <v>151</v>
      </c>
      <c r="Y35" s="57"/>
      <c r="Z35" s="61"/>
      <c r="AA35" s="472">
        <f>(4.186*SUM((AE12-$N15)*(AI8-AE8),(AE13-$N16)*(AI9-AE9),(AE14-$N17)*(AI10-AE10),(AE15-$N18)*(AI11-AE11))+2260*AA31)/(AA30*$E20)</f>
        <v>0.29851710113839125</v>
      </c>
      <c r="AB35" s="56" t="s">
        <v>152</v>
      </c>
      <c r="AC35" s="56"/>
      <c r="AD35" s="94"/>
      <c r="AE35" s="95" t="s">
        <v>153</v>
      </c>
      <c r="AF35" s="61"/>
      <c r="AG35" s="61"/>
      <c r="AH35" s="61"/>
      <c r="AI35" s="61"/>
      <c r="AJ35" s="61"/>
      <c r="AK35" s="61"/>
      <c r="AL35" s="61"/>
      <c r="AM35" s="92" t="s">
        <v>154</v>
      </c>
      <c r="AN35" s="61"/>
      <c r="AO35" s="61"/>
      <c r="AP35" s="474">
        <f>AP30/AP33</f>
        <v>7.353740511446604</v>
      </c>
      <c r="AQ35" s="56" t="s">
        <v>155</v>
      </c>
      <c r="AR35" s="14"/>
      <c r="AS35" s="471"/>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f>W30/W33</f>
        <v>10.72788820100649</v>
      </c>
      <c r="X36" s="92" t="s">
        <v>156</v>
      </c>
      <c r="Y36" s="57"/>
      <c r="Z36" s="61"/>
      <c r="AA36" s="474">
        <f>AA30/AA33</f>
        <v>16.818984610008453</v>
      </c>
      <c r="AB36" s="56" t="s">
        <v>157</v>
      </c>
      <c r="AC36" s="56"/>
      <c r="AD36" s="94"/>
      <c r="AE36" s="95" t="s">
        <v>158</v>
      </c>
      <c r="AF36" s="61"/>
      <c r="AG36" s="61"/>
      <c r="AH36" s="61"/>
      <c r="AI36" s="61"/>
      <c r="AJ36" s="61"/>
      <c r="AK36" s="61"/>
      <c r="AL36" s="61"/>
      <c r="AM36" s="92" t="s">
        <v>845</v>
      </c>
      <c r="AN36" s="61"/>
      <c r="AO36" s="61"/>
      <c r="AP36" s="474">
        <f>AP30/AP32*1000</f>
        <v>82.83312215646988</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93">
        <f>1000*W30/((W32))</f>
        <v>66.06120629040832</v>
      </c>
      <c r="X37" s="56" t="s">
        <v>161</v>
      </c>
      <c r="Y37" s="57"/>
      <c r="Z37" s="61"/>
      <c r="AA37" s="488">
        <f>1000*AA30/AA32</f>
        <v>78.57619372488324</v>
      </c>
      <c r="AB37" s="56" t="s">
        <v>162</v>
      </c>
      <c r="AC37" s="56"/>
      <c r="AD37" s="94"/>
      <c r="AE37" s="95" t="s">
        <v>163</v>
      </c>
      <c r="AF37" s="61"/>
      <c r="AG37" s="61"/>
      <c r="AH37" s="61"/>
      <c r="AI37" s="61"/>
      <c r="AJ37" s="61"/>
      <c r="AK37" s="61"/>
      <c r="AL37" s="61"/>
      <c r="AM37" s="92" t="s">
        <v>164</v>
      </c>
      <c r="AN37" s="61"/>
      <c r="AO37" s="61"/>
      <c r="AP37" s="367">
        <f>AP30*$E$20/(AP33*60)</f>
        <v>2256.862962962963</v>
      </c>
      <c r="AQ37" s="56" t="s">
        <v>165</v>
      </c>
      <c r="AR37" s="14"/>
    </row>
    <row r="38" spans="2:44" ht="15" customHeight="1" thickTop="1">
      <c r="B38" s="121" t="str">
        <f>"TEST #1 "&amp;D7</f>
        <v>TEST #1 </v>
      </c>
      <c r="S38" s="5"/>
      <c r="T38" s="13"/>
      <c r="U38" s="432" t="s">
        <v>166</v>
      </c>
      <c r="V38" s="92" t="s">
        <v>159</v>
      </c>
      <c r="W38" s="488">
        <f>W37*75/($N$20-W8)</f>
        <v>63.52039066385416</v>
      </c>
      <c r="X38" s="56" t="s">
        <v>167</v>
      </c>
      <c r="Y38" s="57"/>
      <c r="Z38" s="61"/>
      <c r="AA38" s="488">
        <f>AA37*75/($N$20-AE8)</f>
        <v>75.55403242777236</v>
      </c>
      <c r="AB38" s="56" t="s">
        <v>168</v>
      </c>
      <c r="AC38" s="56"/>
      <c r="AD38" s="94"/>
      <c r="AE38" s="95" t="s">
        <v>169</v>
      </c>
      <c r="AF38" s="61"/>
      <c r="AG38" s="61"/>
      <c r="AH38" s="61"/>
      <c r="AI38" s="61"/>
      <c r="AJ38" s="61"/>
      <c r="AK38" s="61"/>
      <c r="AL38" s="61"/>
      <c r="AM38" s="92" t="s">
        <v>92</v>
      </c>
      <c r="AN38" s="61"/>
      <c r="AO38" s="61"/>
      <c r="AP38" s="470">
        <f>W40/AP37</f>
        <v>1.4588342061169812</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S39" s="2"/>
      <c r="T39" s="13"/>
      <c r="U39" s="432" t="s">
        <v>171</v>
      </c>
      <c r="V39" s="92" t="s">
        <v>172</v>
      </c>
      <c r="W39" s="93">
        <f>(W38/1000)*E20</f>
        <v>1169.6644736842106</v>
      </c>
      <c r="X39" s="56" t="s">
        <v>173</v>
      </c>
      <c r="Y39" s="57"/>
      <c r="Z39" s="61"/>
      <c r="AA39" s="93">
        <f>(AA38/1000)*E20</f>
        <v>1391.251953125</v>
      </c>
      <c r="AB39" s="56" t="s">
        <v>174</v>
      </c>
      <c r="AC39" s="56"/>
      <c r="AD39" s="94"/>
      <c r="AE39" s="105" t="s">
        <v>175</v>
      </c>
      <c r="AF39" s="106"/>
      <c r="AG39" s="106"/>
      <c r="AH39" s="106"/>
      <c r="AI39" s="106"/>
      <c r="AJ39" s="106"/>
      <c r="AK39" s="106"/>
      <c r="AL39" s="106"/>
      <c r="AM39" s="107" t="s">
        <v>172</v>
      </c>
      <c r="AN39" s="106"/>
      <c r="AO39" s="106"/>
      <c r="AP39" s="108">
        <f>(AP36/1000)*E20</f>
        <v>1525.2891113892365</v>
      </c>
      <c r="AQ39" s="109" t="s">
        <v>176</v>
      </c>
      <c r="AR39" s="110"/>
    </row>
    <row r="40" spans="2:122" ht="15" customHeight="1" thickBot="1">
      <c r="B40" s="623"/>
      <c r="C40" s="624"/>
      <c r="D40" s="624"/>
      <c r="E40" s="624"/>
      <c r="F40" s="624"/>
      <c r="G40" s="624"/>
      <c r="H40" s="624"/>
      <c r="I40" s="624"/>
      <c r="J40" s="624"/>
      <c r="K40" s="624"/>
      <c r="L40" s="624"/>
      <c r="M40" s="624"/>
      <c r="N40" s="624"/>
      <c r="O40" s="624"/>
      <c r="P40" s="624"/>
      <c r="Q40" s="624"/>
      <c r="R40" s="625"/>
      <c r="S40" s="2"/>
      <c r="T40" s="21"/>
      <c r="U40" s="433" t="s">
        <v>163</v>
      </c>
      <c r="V40" s="118" t="s">
        <v>164</v>
      </c>
      <c r="W40" s="475">
        <f>W30*$E$20/(W33*60)</f>
        <v>3292.3888888888923</v>
      </c>
      <c r="X40" s="429" t="s">
        <v>177</v>
      </c>
      <c r="Y40" s="290"/>
      <c r="Z40" s="117"/>
      <c r="AA40" s="475">
        <f>AA30*$E$20/(AA33*60)</f>
        <v>5161.746376811594</v>
      </c>
      <c r="AB40" s="429" t="s">
        <v>178</v>
      </c>
      <c r="AC40" s="429"/>
      <c r="AD40" s="291"/>
      <c r="AE40" s="3" t="s">
        <v>179</v>
      </c>
      <c r="AM40" s="3" t="s">
        <v>20</v>
      </c>
      <c r="AP40" s="441">
        <f>IF(ISERROR(AA38),5*(W38+AP36),5*(AVERAGE(W38,AA38)+AP36))</f>
        <v>761.8516685114156</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U41" s="121"/>
      <c r="V41" s="86"/>
      <c r="W41" s="13"/>
      <c r="X41" s="13"/>
      <c r="Y41" s="13"/>
      <c r="Z41" s="8"/>
      <c r="AA41" s="13"/>
      <c r="AB41" s="13"/>
      <c r="AC41" s="13"/>
      <c r="AD41" s="94"/>
      <c r="AE41" s="117" t="s">
        <v>181</v>
      </c>
      <c r="AF41" s="117"/>
      <c r="AG41" s="117"/>
      <c r="AH41" s="117"/>
      <c r="AI41" s="117"/>
      <c r="AJ41" s="117"/>
      <c r="AK41" s="117"/>
      <c r="AL41" s="117"/>
      <c r="AM41" s="117" t="s">
        <v>182</v>
      </c>
      <c r="AN41" s="117"/>
      <c r="AO41" s="117"/>
      <c r="AP41" s="292">
        <f>(AP40/1000)*E20</f>
        <v>14028.736623969207</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968</v>
      </c>
      <c r="W42" s="439">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324"/>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835</v>
      </c>
      <c r="V44" s="328"/>
      <c r="AB44" s="22" t="s">
        <v>840</v>
      </c>
      <c r="AC44" s="22"/>
      <c r="AE44" s="605">
        <f>IF(AA33=0,W35,(W35+AA35)/2)</f>
        <v>0.3381959988927702</v>
      </c>
      <c r="AF44" s="476">
        <f>IF(AE44=0,"-",IF(AE44&lt;Lists!E15,"0",IF(AE44&lt;Lists!I15,1,IF(AE44&lt;Lists!K15,2,IF(AE44&lt;Lists!M15,3,4)))))</f>
        <v>2</v>
      </c>
      <c r="AI44" s="606">
        <f>((4.186*SUM((W12-$N15)*(AA8-W8),(W13-$N16)*(AA9-W9),(W14-$N17)*(AA10-W10),(W15-$N18)*(AA11-W11))+2260*W31)+(4.186*SUM((AE12-$N15)*(AI8-AE8),(AE13-$N16)*(AI9-AE9),(AE14-$N17)*(AI10-AE10),(AE15-$N18)*(AI11-AE11))+2260*AA31))/(W30*$E20+(AA30*$E20))</f>
        <v>0.33455662319887874</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836</v>
      </c>
      <c r="V45" s="328"/>
      <c r="AB45" s="22" t="s">
        <v>870</v>
      </c>
      <c r="AC45" s="22"/>
      <c r="AE45" s="456">
        <f>AP30*'General Information'!L22/(AP32*AP33*1000)</f>
        <v>0.03389531358642748</v>
      </c>
      <c r="AF45" s="477">
        <f>IF(AE45&gt;Lists!E16,"0",IF(AE45&gt;Lists!I16,1,IF(AE45&gt;Lists!K16,2,IF(AE45&gt;Lists!M16,3,4))))</f>
        <v>2</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837</v>
      </c>
      <c r="AC46" s="22"/>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871</v>
      </c>
      <c r="AC47" s="22"/>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842</v>
      </c>
      <c r="AC48" s="22"/>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872</v>
      </c>
      <c r="AC49" s="22"/>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C50" s="22"/>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8"/>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T52" s="117"/>
      <c r="U52" s="434" t="str">
        <f>"TEST #1 "&amp;D7</f>
        <v>TEST #1 </v>
      </c>
      <c r="V52" s="435" t="s">
        <v>804</v>
      </c>
      <c r="W52" s="117"/>
      <c r="X52" s="118"/>
      <c r="Y52" s="118"/>
      <c r="Z52" s="118"/>
      <c r="AA52" s="428"/>
      <c r="AB52" s="429"/>
      <c r="AC52" s="429"/>
      <c r="AD52" s="117"/>
      <c r="AI52" s="13"/>
    </row>
    <row r="53" spans="2:35" ht="15" customHeight="1" thickTop="1">
      <c r="B53" s="623"/>
      <c r="C53" s="624"/>
      <c r="D53" s="624"/>
      <c r="E53" s="624"/>
      <c r="F53" s="624"/>
      <c r="G53" s="624"/>
      <c r="H53" s="624"/>
      <c r="I53" s="624"/>
      <c r="J53" s="624"/>
      <c r="K53" s="624"/>
      <c r="L53" s="624"/>
      <c r="M53" s="624"/>
      <c r="N53" s="624"/>
      <c r="O53" s="624"/>
      <c r="P53" s="624"/>
      <c r="Q53" s="624"/>
      <c r="R53" s="625"/>
      <c r="T53" s="10"/>
      <c r="U53" s="13"/>
      <c r="V53" s="13"/>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79">
        <f>'General Information'!$C$24*W33/60</f>
        <v>0</v>
      </c>
      <c r="X55" s="391" t="s">
        <v>885</v>
      </c>
      <c r="Y55" s="57"/>
      <c r="Z55" s="61"/>
      <c r="AA55" s="480">
        <f>'General Information'!$C$24*AA33/60</f>
        <v>0</v>
      </c>
      <c r="AB55" s="392" t="s">
        <v>886</v>
      </c>
      <c r="AC55" s="46"/>
      <c r="AD55" s="13"/>
      <c r="AE55" s="479">
        <f>'General Information'!$C$24*AP33/60</f>
        <v>0</v>
      </c>
      <c r="AF55" s="392" t="s">
        <v>887</v>
      </c>
      <c r="AG55" s="158"/>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82" t="e">
        <f>((AA18-$N21)+(AA19-$N22)+(AA20-$N23)/15/('General Information'!$C$22/0.008314/(AA21+273.15)))</f>
        <v>#DIV/0!</v>
      </c>
      <c r="X56" s="391" t="s">
        <v>888</v>
      </c>
      <c r="Y56" s="57"/>
      <c r="Z56" s="61"/>
      <c r="AA56" s="474" t="e">
        <f>((AI18-$N21)+(AI19-$N22)+(AI20-$N23)/15/('General Information'!$C$22/0.008314/(AI21+273.15)))</f>
        <v>#DIV/0!</v>
      </c>
      <c r="AB56" s="392" t="s">
        <v>889</v>
      </c>
      <c r="AC56" s="57"/>
      <c r="AD56" s="13"/>
      <c r="AE56" s="482" t="e">
        <f>((AP18-$N21)+(AP19-$N22)+(AP20-$N23)/15/('General Information'!$C$22/0.008314/(AP21+273.15)))</f>
        <v>#DIV/0!</v>
      </c>
      <c r="AF56" s="392" t="s">
        <v>890</v>
      </c>
      <c r="AG56" s="158"/>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5" t="e">
        <f>'General Information'!$C$22/0.008314/(AA21+273.15)*W56*0.000001*12</f>
        <v>#DIV/0!</v>
      </c>
      <c r="X57" s="391" t="s">
        <v>891</v>
      </c>
      <c r="Y57" s="57"/>
      <c r="Z57" s="61"/>
      <c r="AA57" s="448" t="e">
        <f>'General Information'!$C$22/0.008314/(AI21+273.15)*AA56*0.000001*12</f>
        <v>#DIV/0!</v>
      </c>
      <c r="AB57" s="392" t="s">
        <v>892</v>
      </c>
      <c r="AC57" s="57"/>
      <c r="AD57" s="13"/>
      <c r="AE57" s="445" t="e">
        <f>'General Information'!$C$22/0.008314/(AP21+273.15)*AE56*0.000001*12</f>
        <v>#DIV/0!</v>
      </c>
      <c r="AF57" s="392" t="s">
        <v>893</v>
      </c>
      <c r="AG57" s="158"/>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85" t="e">
        <f>W57*W55/fuelFracC</f>
        <v>#DIV/0!</v>
      </c>
      <c r="X58" s="392" t="s">
        <v>894</v>
      </c>
      <c r="Y58" s="57"/>
      <c r="Z58" s="61"/>
      <c r="AA58" s="448" t="e">
        <f>AA57*AA55/fuelFracC</f>
        <v>#DIV/0!</v>
      </c>
      <c r="AB58" s="392" t="s">
        <v>895</v>
      </c>
      <c r="AC58" s="57"/>
      <c r="AD58" s="13"/>
      <c r="AE58" s="445" t="e">
        <f>AE57*AE55/fuelFracC</f>
        <v>#DIV/0!</v>
      </c>
      <c r="AF58" s="392" t="s">
        <v>896</v>
      </c>
      <c r="AG58" s="22"/>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3" t="e">
        <f>W58/((1-$E$18)*(W28)-W29*charFracC/'General Information'!L23)</f>
        <v>#DIV/0!</v>
      </c>
      <c r="X59" s="392" t="s">
        <v>897</v>
      </c>
      <c r="Y59" s="374"/>
      <c r="Z59" s="375"/>
      <c r="AA59" s="484" t="e">
        <f>AA58/((1-$E$18)*(AA28)-AA29*charFracC/'General Information'!L23)</f>
        <v>#DIV/0!</v>
      </c>
      <c r="AB59" s="392" t="s">
        <v>898</v>
      </c>
      <c r="AC59" s="374"/>
      <c r="AD59" s="376"/>
      <c r="AE59" s="483" t="e">
        <f>AE58/((1-$E$18)*(AP28)-AP29*charFracC/'General Information'!L23)</f>
        <v>#DIV/0!</v>
      </c>
      <c r="AF59" s="392" t="s">
        <v>899</v>
      </c>
      <c r="AG59" s="22"/>
      <c r="AH59" s="13"/>
      <c r="AI59" s="309"/>
    </row>
    <row r="60" spans="20:36" ht="15" customHeight="1">
      <c r="T60" s="10"/>
      <c r="U60" s="300" t="s">
        <v>813</v>
      </c>
      <c r="V60" s="13"/>
      <c r="W60" s="350"/>
      <c r="X60" s="56"/>
      <c r="Y60" s="57"/>
      <c r="Z60" s="61"/>
      <c r="AA60" s="2"/>
      <c r="AB60" s="22"/>
      <c r="AC60" s="57"/>
      <c r="AD60" s="13"/>
      <c r="AE60" s="350"/>
      <c r="AF60" s="22"/>
      <c r="AG60" s="22"/>
      <c r="AH60" s="13"/>
      <c r="AI60" s="309"/>
      <c r="AJ60" s="481"/>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v>3</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350"/>
      <c r="X64" s="22"/>
      <c r="Y64" s="57"/>
      <c r="Z64" s="61"/>
      <c r="AA64" s="2"/>
      <c r="AB64" s="22"/>
      <c r="AC64" s="57"/>
      <c r="AD64" s="13"/>
      <c r="AE64" s="350"/>
      <c r="AF64" s="22"/>
      <c r="AG64" s="22"/>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85" t="e">
        <f>IF(W42=2,W73/(W28*(1-E18)-W29*charFracC/fuelFracC),IF(W56&gt;0,((AA18-$N21)*44/12)/(W$56/fuelFracC)*1000,0))</f>
        <v>#DIV/0!</v>
      </c>
      <c r="X65" s="392" t="s">
        <v>973</v>
      </c>
      <c r="Y65" s="57"/>
      <c r="Z65" s="61"/>
      <c r="AA65" s="93"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22"/>
      <c r="AH65" s="13"/>
      <c r="AI65" s="309"/>
    </row>
    <row r="66" spans="2:35"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4"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22"/>
      <c r="AH66" s="13"/>
      <c r="AI66" s="309"/>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0" t="e">
        <f>IF(W42=2,W75/(W28*(1-E18)-W29*charFracC/fuelFracC),IF(W57&gt;0,(AA20-$N23)/(W$57/fuelFracC)*1000/1000000,0))</f>
        <v>#DIV/0!</v>
      </c>
      <c r="X67" s="392" t="s">
        <v>906</v>
      </c>
      <c r="Y67" s="348"/>
      <c r="Z67" s="349"/>
      <c r="AA67" s="461"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22"/>
      <c r="AH67" s="13"/>
      <c r="AI67" s="309"/>
    </row>
    <row r="68" spans="2:34" ht="15" customHeight="1">
      <c r="B68" s="102"/>
      <c r="C68" s="103"/>
      <c r="D68" s="103"/>
      <c r="E68" s="103"/>
      <c r="F68" s="103"/>
      <c r="G68" s="103"/>
      <c r="H68" s="103"/>
      <c r="I68" s="103"/>
      <c r="J68" s="103"/>
      <c r="K68" s="103"/>
      <c r="L68" s="103"/>
      <c r="M68" s="103"/>
      <c r="N68" s="103"/>
      <c r="O68" s="103"/>
      <c r="P68" s="103"/>
      <c r="Q68" s="103"/>
      <c r="R68" s="104"/>
      <c r="T68" s="10"/>
      <c r="U68" s="300" t="s">
        <v>948</v>
      </c>
      <c r="V68" s="13"/>
      <c r="W68" s="350"/>
      <c r="X68" s="22"/>
      <c r="Y68" s="57"/>
      <c r="Z68" s="61"/>
      <c r="AA68" s="2"/>
      <c r="AB68" s="22"/>
      <c r="AC68" s="57"/>
      <c r="AD68" s="13"/>
      <c r="AE68" s="350"/>
      <c r="AF68" s="22"/>
      <c r="AG68" s="22"/>
      <c r="AH68" s="21"/>
    </row>
    <row r="69" spans="2:34" ht="15" customHeight="1">
      <c r="B69" s="623"/>
      <c r="C69" s="624"/>
      <c r="D69" s="624"/>
      <c r="E69" s="624"/>
      <c r="F69" s="624"/>
      <c r="G69" s="624"/>
      <c r="H69" s="624"/>
      <c r="I69" s="624"/>
      <c r="J69" s="624"/>
      <c r="K69" s="624"/>
      <c r="L69" s="624"/>
      <c r="M69" s="624"/>
      <c r="N69" s="624"/>
      <c r="O69" s="624"/>
      <c r="P69" s="624"/>
      <c r="Q69" s="624"/>
      <c r="R69" s="625"/>
      <c r="T69" s="10"/>
      <c r="U69" s="13" t="s">
        <v>812</v>
      </c>
      <c r="V69" s="22" t="s">
        <v>838</v>
      </c>
      <c r="W69" s="85" t="e">
        <f>W65*(W28*(1-$E$18)-W29*charFracC/fuelFracC)/1000</f>
        <v>#DIV/0!</v>
      </c>
      <c r="X69" s="402" t="s">
        <v>915</v>
      </c>
      <c r="Y69" s="403"/>
      <c r="Z69" s="404"/>
      <c r="AA69" s="93" t="e">
        <f>AA65*(AA28*(1-$E$18)-AA29*charFracC/fuelFracC)/1000</f>
        <v>#DIV/0!</v>
      </c>
      <c r="AB69" s="402" t="s">
        <v>916</v>
      </c>
      <c r="AC69" s="403"/>
      <c r="AD69" s="405"/>
      <c r="AE69" s="85" t="e">
        <f>AE65*(AP28*(1-$E$18)-AP29*charFracC/fuelFracC)/1000</f>
        <v>#DIV/0!</v>
      </c>
      <c r="AF69" s="392" t="s">
        <v>917</v>
      </c>
      <c r="AG69" s="22"/>
      <c r="AH69" s="21"/>
    </row>
    <row r="70" spans="2:34" ht="15" customHeight="1">
      <c r="B70" s="627"/>
      <c r="C70" s="628"/>
      <c r="D70" s="628"/>
      <c r="E70" s="628"/>
      <c r="F70" s="628"/>
      <c r="G70" s="628"/>
      <c r="H70" s="628"/>
      <c r="I70" s="628"/>
      <c r="J70" s="628"/>
      <c r="K70" s="628"/>
      <c r="L70" s="628"/>
      <c r="M70" s="628"/>
      <c r="N70" s="628"/>
      <c r="O70" s="628"/>
      <c r="P70" s="628"/>
      <c r="Q70" s="628"/>
      <c r="R70" s="629"/>
      <c r="T70" s="10"/>
      <c r="U70" s="13" t="s">
        <v>810</v>
      </c>
      <c r="V70" s="22" t="s">
        <v>839</v>
      </c>
      <c r="W70" s="459" t="e">
        <f>W66*(W28*(1-$E$18)-W29*charFracC/fuelFracC)/1000</f>
        <v>#DIV/0!</v>
      </c>
      <c r="X70" s="400" t="s">
        <v>912</v>
      </c>
      <c r="Y70" s="377"/>
      <c r="Z70" s="378"/>
      <c r="AA70" s="454" t="e">
        <f>AA66*(AA28*(1-$E$18)-AA29*charFracC/fuelFracC)/1000</f>
        <v>#DIV/0!</v>
      </c>
      <c r="AB70" s="400" t="s">
        <v>913</v>
      </c>
      <c r="AC70" s="377"/>
      <c r="AD70" s="54"/>
      <c r="AE70" s="459" t="e">
        <f>AE66*(AP28*(1-$E$18)-AP29*charFracC/fuelFracC)/1000</f>
        <v>#DIV/0!</v>
      </c>
      <c r="AF70" s="392" t="s">
        <v>914</v>
      </c>
      <c r="AG70" s="22"/>
      <c r="AH70" s="21"/>
    </row>
    <row r="71" spans="20:34" ht="15" customHeight="1">
      <c r="T71" s="10"/>
      <c r="U71" s="13" t="s">
        <v>811</v>
      </c>
      <c r="V71" s="22" t="s">
        <v>20</v>
      </c>
      <c r="W71" s="460" t="e">
        <f>W67*(W28*(1-$E$18)-W29*charFracC/fuelFracC)/1000</f>
        <v>#DIV/0!</v>
      </c>
      <c r="X71" s="401" t="s">
        <v>909</v>
      </c>
      <c r="Y71" s="348"/>
      <c r="Z71" s="349"/>
      <c r="AA71" s="461" t="e">
        <f>AA67*(AA28*(1-$E$18)-AA29*charFracC/fuelFracC)/1000</f>
        <v>#DIV/0!</v>
      </c>
      <c r="AB71" s="401" t="s">
        <v>910</v>
      </c>
      <c r="AC71" s="348"/>
      <c r="AD71" s="347"/>
      <c r="AE71" s="460" t="e">
        <f>AE67*(AP28*(1-$E$18)-AP29*charFracC/fuelFracC)/1000</f>
        <v>#DIV/0!</v>
      </c>
      <c r="AF71" s="392" t="s">
        <v>911</v>
      </c>
      <c r="AG71" s="22"/>
      <c r="AH71" s="21"/>
    </row>
    <row r="72" spans="20:34" ht="15" customHeight="1">
      <c r="T72" s="10"/>
      <c r="U72" s="300" t="s">
        <v>949</v>
      </c>
      <c r="V72" s="13"/>
      <c r="W72" s="350"/>
      <c r="X72" s="22"/>
      <c r="Y72" s="57"/>
      <c r="Z72" s="61"/>
      <c r="AA72" s="2"/>
      <c r="AB72" s="22"/>
      <c r="AC72" s="57"/>
      <c r="AD72" s="13"/>
      <c r="AE72" s="350"/>
      <c r="AF72" s="22"/>
      <c r="AG72" s="22"/>
      <c r="AH72" s="21"/>
    </row>
    <row r="73" spans="20:34" ht="15" customHeight="1">
      <c r="T73" s="10"/>
      <c r="U73" s="13" t="s">
        <v>812</v>
      </c>
      <c r="V73" s="22" t="s">
        <v>838</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22"/>
      <c r="AH73" s="21"/>
    </row>
    <row r="74" spans="20:34" ht="15" customHeight="1">
      <c r="T74" s="10"/>
      <c r="U74" s="13" t="s">
        <v>810</v>
      </c>
      <c r="V74" s="22" t="s">
        <v>838</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22"/>
      <c r="AH74" s="21"/>
    </row>
    <row r="75" spans="20:34" ht="15" customHeight="1" thickBot="1">
      <c r="T75" s="333"/>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22"/>
      <c r="AH75" s="334"/>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spans="20:23" ht="15" customHeight="1" thickTop="1">
      <c r="T79" s="306"/>
      <c r="U79" s="139"/>
      <c r="V79" s="158"/>
      <c r="W79" s="140"/>
    </row>
    <row r="80" spans="20:23" ht="27.75" customHeight="1">
      <c r="T80" s="306"/>
      <c r="U80" s="139"/>
      <c r="V80" s="158"/>
      <c r="W80" s="140"/>
    </row>
    <row r="81" spans="20:23" ht="27.75" customHeight="1">
      <c r="T81" s="306"/>
      <c r="U81" s="139"/>
      <c r="V81" s="158"/>
      <c r="W81" s="140"/>
    </row>
    <row r="82" spans="21:23" ht="27.75" customHeight="1">
      <c r="U82" s="139"/>
      <c r="V82" s="158"/>
      <c r="W82" s="13"/>
    </row>
  </sheetData>
  <sheetProtection/>
  <mergeCells count="74">
    <mergeCell ref="B70:R70"/>
    <mergeCell ref="B26:R26"/>
    <mergeCell ref="B66:R66"/>
    <mergeCell ref="B67:R67"/>
    <mergeCell ref="B69:R69"/>
    <mergeCell ref="B61:R61"/>
    <mergeCell ref="B62:R62"/>
    <mergeCell ref="B64:R64"/>
    <mergeCell ref="B50:R50"/>
    <mergeCell ref="B51:R51"/>
    <mergeCell ref="B53:R53"/>
    <mergeCell ref="B54:R54"/>
    <mergeCell ref="B65:R65"/>
    <mergeCell ref="B55:R55"/>
    <mergeCell ref="B56:R56"/>
    <mergeCell ref="B58:R58"/>
    <mergeCell ref="B59:R59"/>
    <mergeCell ref="M6:P6"/>
    <mergeCell ref="M7:P7"/>
    <mergeCell ref="B47:R47"/>
    <mergeCell ref="B48:R48"/>
    <mergeCell ref="B40:R40"/>
    <mergeCell ref="B39:R39"/>
    <mergeCell ref="B42:R42"/>
    <mergeCell ref="B43:R43"/>
    <mergeCell ref="B44:R44"/>
    <mergeCell ref="B45:R45"/>
    <mergeCell ref="AL4:AM4"/>
    <mergeCell ref="M8:P8"/>
    <mergeCell ref="AP4:AQ4"/>
    <mergeCell ref="D6:K6"/>
    <mergeCell ref="AI4:AJ4"/>
    <mergeCell ref="D11:K11"/>
    <mergeCell ref="D7:K7"/>
    <mergeCell ref="D8:K8"/>
    <mergeCell ref="D9:K9"/>
    <mergeCell ref="AA4:AB4"/>
    <mergeCell ref="A2:S2"/>
    <mergeCell ref="W2:AB2"/>
    <mergeCell ref="AE2:AJ2"/>
    <mergeCell ref="AL2:AQ2"/>
    <mergeCell ref="AL3:AM3"/>
    <mergeCell ref="AP3:AQ3"/>
    <mergeCell ref="W3:X3"/>
    <mergeCell ref="AA3:AB3"/>
    <mergeCell ref="AI3:AJ3"/>
    <mergeCell ref="AE3:AF3"/>
    <mergeCell ref="AE16:AF16"/>
    <mergeCell ref="K19:M19"/>
    <mergeCell ref="B21:D21"/>
    <mergeCell ref="K20:M20"/>
    <mergeCell ref="K18:M18"/>
    <mergeCell ref="AL16:AM16"/>
    <mergeCell ref="B16:D16"/>
    <mergeCell ref="K16:M16"/>
    <mergeCell ref="B19:D19"/>
    <mergeCell ref="B20:D20"/>
    <mergeCell ref="D10:K10"/>
    <mergeCell ref="W16:X16"/>
    <mergeCell ref="B15:D15"/>
    <mergeCell ref="K15:M15"/>
    <mergeCell ref="B14:D14"/>
    <mergeCell ref="B23:D23"/>
    <mergeCell ref="B18:D18"/>
    <mergeCell ref="E17:G17"/>
    <mergeCell ref="B27:R27"/>
    <mergeCell ref="K17:M17"/>
    <mergeCell ref="B35:R35"/>
    <mergeCell ref="B34:R34"/>
    <mergeCell ref="B32:R32"/>
    <mergeCell ref="B31:R31"/>
    <mergeCell ref="B30:R30"/>
    <mergeCell ref="B29:R29"/>
    <mergeCell ref="E25:R25"/>
  </mergeCells>
  <conditionalFormatting sqref="W28:W40 AA28:AA40 AP28:AP41 AE44:AF51 W55:W75 AA55:AA75 AE55:AE75 W77:W78">
    <cfRule type="containsErrors" priority="1" dxfId="0" stopIfTrue="1">
      <formula>ISERROR(W28)</formula>
    </cfRule>
  </conditionalFormatting>
  <dataValidations count="1">
    <dataValidation allowBlank="1" showInputMessage="1" showErrorMessage="1" sqref="W42"/>
  </dataValidations>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4.xml><?xml version="1.0" encoding="utf-8"?>
<worksheet xmlns="http://schemas.openxmlformats.org/spreadsheetml/2006/main" xmlns:r="http://schemas.openxmlformats.org/officeDocument/2006/relationships">
  <sheetPr codeName="Sheet3"/>
  <dimension ref="A1:DU82"/>
  <sheetViews>
    <sheetView showGridLines="0" showZeros="0" zoomScaleSheetLayoutView="100" workbookViewId="0" topLeftCell="A1">
      <selection activeCell="E15" sqref="E15"/>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6" ht="13.5" customHeight="1" thickBot="1">
      <c r="A2" s="638" t="str">
        <f>"WATER BOILING TEST - VERSION "&amp;version&amp;" - TEST #2"</f>
        <v>WATER BOILING TEST - VERSION 4.2.3 - TEST #2</v>
      </c>
      <c r="B2" s="638"/>
      <c r="C2" s="638"/>
      <c r="D2" s="638"/>
      <c r="E2" s="638"/>
      <c r="F2" s="638"/>
      <c r="G2" s="638"/>
      <c r="H2" s="638"/>
      <c r="I2" s="638"/>
      <c r="J2" s="638"/>
      <c r="K2" s="638"/>
      <c r="L2" s="638"/>
      <c r="M2" s="638"/>
      <c r="N2" s="638"/>
      <c r="O2" s="638"/>
      <c r="P2" s="638"/>
      <c r="Q2" s="638"/>
      <c r="R2" s="638"/>
      <c r="S2" s="638"/>
      <c r="T2" s="10"/>
      <c r="U2" s="293" t="str">
        <f>"TEST #2 "&amp;D7</f>
        <v>TEST #2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c r="AS2" s="151"/>
      <c r="AT2" s="71"/>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4" t="s">
        <v>3</v>
      </c>
      <c r="X3" s="658"/>
      <c r="Y3" s="23"/>
      <c r="Z3" s="13"/>
      <c r="AA3" s="658" t="s">
        <v>4</v>
      </c>
      <c r="AB3" s="672"/>
      <c r="AC3" s="24"/>
      <c r="AD3" s="12"/>
      <c r="AE3" s="644" t="s">
        <v>3</v>
      </c>
      <c r="AF3" s="658"/>
      <c r="AG3" s="23"/>
      <c r="AH3" s="13"/>
      <c r="AI3" s="658" t="s">
        <v>4</v>
      </c>
      <c r="AJ3" s="672"/>
      <c r="AK3" s="12"/>
      <c r="AL3" s="659" t="s">
        <v>3</v>
      </c>
      <c r="AM3" s="660"/>
      <c r="AN3" s="23"/>
      <c r="AO3" s="13"/>
      <c r="AP3" s="660" t="s">
        <v>5</v>
      </c>
      <c r="AQ3" s="66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69" t="s">
        <v>6</v>
      </c>
      <c r="AB4" s="649"/>
      <c r="AC4" s="24"/>
      <c r="AD4" s="12"/>
      <c r="AE4" s="31"/>
      <c r="AF4" s="31"/>
      <c r="AG4" s="32"/>
      <c r="AH4" s="33"/>
      <c r="AI4" s="669" t="s">
        <v>6</v>
      </c>
      <c r="AJ4" s="649"/>
      <c r="AK4" s="12"/>
      <c r="AL4" s="645"/>
      <c r="AM4" s="670"/>
      <c r="AN4" s="34"/>
      <c r="AO4" s="31"/>
      <c r="AP4" s="670"/>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66"/>
      <c r="E7" s="666"/>
      <c r="F7" s="666"/>
      <c r="G7" s="666"/>
      <c r="H7" s="666"/>
      <c r="I7" s="666"/>
      <c r="J7" s="666"/>
      <c r="K7" s="666"/>
      <c r="M7" s="654" t="s">
        <v>970</v>
      </c>
      <c r="N7" s="654"/>
      <c r="O7" s="654"/>
      <c r="P7" s="654"/>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67"/>
      <c r="E8" s="667"/>
      <c r="F8" s="667"/>
      <c r="G8" s="667"/>
      <c r="H8" s="667"/>
      <c r="I8" s="667"/>
      <c r="J8" s="667"/>
      <c r="K8" s="667"/>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68">
        <f>'General Information'!C7</f>
        <v>0</v>
      </c>
      <c r="E9" s="668"/>
      <c r="F9" s="668"/>
      <c r="G9" s="668"/>
      <c r="H9" s="668"/>
      <c r="I9" s="668"/>
      <c r="J9" s="668"/>
      <c r="K9" s="668"/>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62">
        <f>'General Information'!C10</f>
        <v>0</v>
      </c>
      <c r="E10" s="662"/>
      <c r="F10" s="662"/>
      <c r="G10" s="662"/>
      <c r="H10" s="662"/>
      <c r="I10" s="662"/>
      <c r="J10" s="662"/>
      <c r="K10" s="66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63" t="s">
        <v>88</v>
      </c>
      <c r="C14" s="663"/>
      <c r="D14" s="663"/>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64" t="s">
        <v>702</v>
      </c>
      <c r="C15" s="664"/>
      <c r="D15" s="664"/>
      <c r="E15" s="73"/>
      <c r="F15" s="74"/>
      <c r="G15" s="2" t="s">
        <v>29</v>
      </c>
      <c r="J15" s="75"/>
      <c r="K15" s="664" t="s">
        <v>93</v>
      </c>
      <c r="L15" s="664"/>
      <c r="M15" s="664"/>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71"/>
      <c r="X16" s="633"/>
      <c r="Y16" s="70"/>
      <c r="Z16" s="71"/>
      <c r="AA16" s="72"/>
      <c r="AB16" s="45"/>
      <c r="AC16" s="45"/>
      <c r="AD16" s="12"/>
      <c r="AE16" s="671"/>
      <c r="AF16" s="633"/>
      <c r="AG16" s="46"/>
      <c r="AH16" s="13"/>
      <c r="AI16" s="72"/>
      <c r="AJ16" s="21"/>
      <c r="AK16" s="12"/>
      <c r="AL16" s="671"/>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64"/>
      <c r="AB20" s="45" t="s">
        <v>795</v>
      </c>
      <c r="AC20" s="45"/>
      <c r="AD20" s="82"/>
      <c r="AE20" s="424"/>
      <c r="AF20" s="425"/>
      <c r="AG20" s="436"/>
      <c r="AH20" s="422"/>
      <c r="AI20" s="464"/>
      <c r="AJ20" s="45" t="s">
        <v>798</v>
      </c>
      <c r="AK20" s="82"/>
      <c r="AL20" s="424"/>
      <c r="AM20" s="425"/>
      <c r="AN20" s="436"/>
      <c r="AO20" s="422"/>
      <c r="AP20" s="464"/>
      <c r="AQ20" s="45" t="s">
        <v>801</v>
      </c>
      <c r="AR20" s="14"/>
    </row>
    <row r="21" spans="1:44" ht="15" customHeight="1">
      <c r="A21" s="25"/>
      <c r="B21" s="637" t="s">
        <v>783</v>
      </c>
      <c r="C21" s="637"/>
      <c r="D21" s="637"/>
      <c r="E21" s="46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0"/>
      <c r="AB21" s="492" t="s">
        <v>945</v>
      </c>
      <c r="AC21" s="45"/>
      <c r="AD21" s="82"/>
      <c r="AE21" s="493"/>
      <c r="AF21" s="425"/>
      <c r="AG21" s="425"/>
      <c r="AH21" s="494"/>
      <c r="AI21" s="510"/>
      <c r="AJ21" s="492" t="s">
        <v>946</v>
      </c>
      <c r="AK21" s="422"/>
      <c r="AL21" s="493"/>
      <c r="AM21" s="425"/>
      <c r="AN21" s="427"/>
      <c r="AO21" s="425"/>
      <c r="AP21" s="510"/>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5" t="s">
        <v>969</v>
      </c>
      <c r="AK22" s="12"/>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506"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14"/>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6"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6" t="e">
        <f>(4.186*SUM((W12-$N15)*(AA8-W8),(W13-$N16)*(AA9-W9),(W14-$N17)*(AA10-W10),(W15-$N18)*(AA11-W11))+2260*W31)/(W30*$E20)</f>
        <v>#DIV/0!</v>
      </c>
      <c r="X35" s="56" t="s">
        <v>151</v>
      </c>
      <c r="Y35" s="57"/>
      <c r="Z35" s="61"/>
      <c r="AA35" s="486"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93"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#2 "&amp;D7</f>
        <v>TEST #2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customHeight="1"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65"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W41" s="8"/>
      <c r="X41" s="8"/>
      <c r="Y41" s="8"/>
      <c r="Z41" s="8"/>
      <c r="AA41" s="8"/>
      <c r="AB41" s="8"/>
      <c r="AC41" s="8"/>
      <c r="AD41" s="437"/>
      <c r="AE41" s="117" t="s">
        <v>181</v>
      </c>
      <c r="AF41" s="117"/>
      <c r="AG41" s="117"/>
      <c r="AH41" s="117"/>
      <c r="AI41" s="117"/>
      <c r="AJ41" s="117"/>
      <c r="AK41" s="117"/>
      <c r="AL41" s="117"/>
      <c r="AM41" s="117" t="s">
        <v>182</v>
      </c>
      <c r="AN41" s="117"/>
      <c r="AO41" s="117"/>
      <c r="AP41" s="466"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9"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c r="AM47" s="446"/>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T52" s="117"/>
      <c r="U52" s="121" t="str">
        <f>"TEST #2 "&amp;D6</f>
        <v>TEST #2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10"/>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79">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82"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5"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85"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3"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350"/>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85"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5"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0"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8" ht="15" customHeight="1">
      <c r="B68" s="102"/>
      <c r="C68" s="103"/>
      <c r="D68" s="103"/>
      <c r="E68" s="103"/>
      <c r="F68" s="103"/>
      <c r="G68" s="103"/>
      <c r="H68" s="103"/>
      <c r="I68" s="103"/>
      <c r="J68" s="103"/>
      <c r="K68" s="103"/>
      <c r="L68" s="103"/>
      <c r="M68" s="103"/>
      <c r="N68" s="103"/>
      <c r="O68" s="103"/>
      <c r="P68" s="103"/>
      <c r="Q68" s="103"/>
      <c r="R68" s="104"/>
      <c r="T68" s="10"/>
      <c r="U68" s="300" t="s">
        <v>948</v>
      </c>
      <c r="V68" s="13"/>
      <c r="W68" s="350"/>
      <c r="X68" s="22"/>
      <c r="Y68" s="57"/>
      <c r="Z68" s="61"/>
      <c r="AA68" s="350"/>
      <c r="AB68" s="22"/>
      <c r="AC68" s="57"/>
      <c r="AD68" s="13"/>
      <c r="AE68" s="350"/>
      <c r="AF68" s="22"/>
      <c r="AG68" s="13"/>
      <c r="AH68" s="21"/>
      <c r="AL68" s="446"/>
    </row>
    <row r="69" spans="2:34"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85"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21"/>
    </row>
    <row r="70" spans="2:34"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9"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21"/>
    </row>
    <row r="71" spans="20:37" ht="15" customHeight="1">
      <c r="T71" s="10"/>
      <c r="U71" s="13" t="s">
        <v>811</v>
      </c>
      <c r="V71" s="22" t="s">
        <v>20</v>
      </c>
      <c r="W71" s="460"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21"/>
      <c r="AK71" s="447"/>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spans="20:23" ht="15" customHeight="1" thickTop="1">
      <c r="T79" s="306"/>
      <c r="U79" s="139"/>
      <c r="V79" s="158"/>
      <c r="W79" s="140"/>
    </row>
    <row r="80" spans="20:23" ht="27.75" customHeight="1">
      <c r="T80" s="306"/>
      <c r="U80" s="139"/>
      <c r="V80" s="158"/>
      <c r="W80" s="140"/>
    </row>
    <row r="81" spans="20:23" ht="27.75" customHeight="1">
      <c r="T81" s="306"/>
      <c r="U81" s="139"/>
      <c r="V81" s="158"/>
      <c r="W81" s="140"/>
    </row>
    <row r="82" spans="21:23" ht="27.75" customHeight="1">
      <c r="U82" s="139"/>
      <c r="V82" s="158"/>
      <c r="W82" s="140"/>
    </row>
  </sheetData>
  <sheetProtection/>
  <mergeCells count="74">
    <mergeCell ref="B18:D18"/>
    <mergeCell ref="K19:M19"/>
    <mergeCell ref="B21:D21"/>
    <mergeCell ref="K20:M20"/>
    <mergeCell ref="E25:R25"/>
    <mergeCell ref="B23:D23"/>
    <mergeCell ref="B19:D19"/>
    <mergeCell ref="AA3:AB3"/>
    <mergeCell ref="AI3:AJ3"/>
    <mergeCell ref="D11:K11"/>
    <mergeCell ref="B35:R35"/>
    <mergeCell ref="B34:R34"/>
    <mergeCell ref="B32:R32"/>
    <mergeCell ref="B31:R31"/>
    <mergeCell ref="K17:M17"/>
    <mergeCell ref="B20:D20"/>
    <mergeCell ref="K18:M18"/>
    <mergeCell ref="AA4:AB4"/>
    <mergeCell ref="AI4:AJ4"/>
    <mergeCell ref="AL4:AM4"/>
    <mergeCell ref="AP4:AQ4"/>
    <mergeCell ref="W16:X16"/>
    <mergeCell ref="AE16:AF16"/>
    <mergeCell ref="AL16:AM16"/>
    <mergeCell ref="B44:R44"/>
    <mergeCell ref="W3:X3"/>
    <mergeCell ref="D6:K6"/>
    <mergeCell ref="D7:K7"/>
    <mergeCell ref="D8:K8"/>
    <mergeCell ref="D9:K9"/>
    <mergeCell ref="M6:P6"/>
    <mergeCell ref="M7:P7"/>
    <mergeCell ref="B16:D16"/>
    <mergeCell ref="K16:M16"/>
    <mergeCell ref="B43:R43"/>
    <mergeCell ref="D10:K10"/>
    <mergeCell ref="B14:D14"/>
    <mergeCell ref="B15:D15"/>
    <mergeCell ref="K15:M15"/>
    <mergeCell ref="M8:P8"/>
    <mergeCell ref="E17:G17"/>
    <mergeCell ref="B30:R30"/>
    <mergeCell ref="B29:R29"/>
    <mergeCell ref="B27:R27"/>
    <mergeCell ref="AL2:AQ2"/>
    <mergeCell ref="B40:R40"/>
    <mergeCell ref="B39:R39"/>
    <mergeCell ref="B42:R42"/>
    <mergeCell ref="AE3:AF3"/>
    <mergeCell ref="A2:S2"/>
    <mergeCell ref="W2:AB2"/>
    <mergeCell ref="AE2:AJ2"/>
    <mergeCell ref="AL3:AM3"/>
    <mergeCell ref="AP3:AQ3"/>
    <mergeCell ref="B45:R45"/>
    <mergeCell ref="B47:R47"/>
    <mergeCell ref="B48:R48"/>
    <mergeCell ref="B56:R56"/>
    <mergeCell ref="B58:R58"/>
    <mergeCell ref="B59:R59"/>
    <mergeCell ref="B50:R50"/>
    <mergeCell ref="B51:R51"/>
    <mergeCell ref="B53:R53"/>
    <mergeCell ref="B54:R54"/>
    <mergeCell ref="B70:R70"/>
    <mergeCell ref="B26:R26"/>
    <mergeCell ref="B66:R66"/>
    <mergeCell ref="B67:R67"/>
    <mergeCell ref="B69:R69"/>
    <mergeCell ref="B61:R61"/>
    <mergeCell ref="B62:R62"/>
    <mergeCell ref="B64:R64"/>
    <mergeCell ref="B65:R65"/>
    <mergeCell ref="B55:R55"/>
  </mergeCells>
  <conditionalFormatting sqref="AA28:AA40 W28:W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5.xml><?xml version="1.0" encoding="utf-8"?>
<worksheet xmlns="http://schemas.openxmlformats.org/spreadsheetml/2006/main" xmlns:r="http://schemas.openxmlformats.org/officeDocument/2006/relationships">
  <sheetPr codeName="Sheet8"/>
  <dimension ref="A1:DU78"/>
  <sheetViews>
    <sheetView showGridLines="0" showZeros="0" zoomScaleSheetLayoutView="100" workbookViewId="0" topLeftCell="A1">
      <selection activeCell="E15" sqref="E15"/>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#3"</f>
        <v>WATER BOILING TEST - VERSION 4.2.3 - TEST #3</v>
      </c>
      <c r="B2" s="638"/>
      <c r="C2" s="638"/>
      <c r="D2" s="638"/>
      <c r="E2" s="638"/>
      <c r="F2" s="638"/>
      <c r="G2" s="638"/>
      <c r="H2" s="638"/>
      <c r="I2" s="638"/>
      <c r="J2" s="638"/>
      <c r="K2" s="638"/>
      <c r="L2" s="638"/>
      <c r="M2" s="638"/>
      <c r="N2" s="638"/>
      <c r="O2" s="638"/>
      <c r="P2" s="638"/>
      <c r="Q2" s="638"/>
      <c r="R2" s="638"/>
      <c r="S2" s="638"/>
      <c r="T2" s="10"/>
      <c r="U2" s="293" t="str">
        <f>"TEST #3 "&amp;D7</f>
        <v>TEST #3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#3 "&amp;D7</f>
        <v>TEST #3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#3 "&amp;D7</f>
        <v>TEST #3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70:R70"/>
    <mergeCell ref="B26:R26"/>
    <mergeCell ref="B66:R66"/>
    <mergeCell ref="B67:R67"/>
    <mergeCell ref="B69:R69"/>
    <mergeCell ref="B61:R61"/>
    <mergeCell ref="B62:R62"/>
    <mergeCell ref="B64:R64"/>
    <mergeCell ref="B65:R65"/>
    <mergeCell ref="B55:R55"/>
    <mergeCell ref="B56:R56"/>
    <mergeCell ref="B58:R58"/>
    <mergeCell ref="B59:R59"/>
    <mergeCell ref="B50:R50"/>
    <mergeCell ref="B51:R51"/>
    <mergeCell ref="B53:R53"/>
    <mergeCell ref="B54:R54"/>
    <mergeCell ref="A2:S2"/>
    <mergeCell ref="B48:R48"/>
    <mergeCell ref="B40:R40"/>
    <mergeCell ref="B39:R39"/>
    <mergeCell ref="B42:R42"/>
    <mergeCell ref="B43:R43"/>
    <mergeCell ref="B44:R44"/>
    <mergeCell ref="B45:R45"/>
    <mergeCell ref="M6:P6"/>
    <mergeCell ref="M7:P7"/>
    <mergeCell ref="AL4:AM4"/>
    <mergeCell ref="AP4:AQ4"/>
    <mergeCell ref="B47:R47"/>
    <mergeCell ref="D10:K10"/>
    <mergeCell ref="B14:D14"/>
    <mergeCell ref="D11:K11"/>
    <mergeCell ref="AA4:AB4"/>
    <mergeCell ref="AI4:AJ4"/>
    <mergeCell ref="D8:K8"/>
    <mergeCell ref="D9:K9"/>
    <mergeCell ref="AL2:AQ2"/>
    <mergeCell ref="AL3:AM3"/>
    <mergeCell ref="AP3:AQ3"/>
    <mergeCell ref="AE3:AF3"/>
    <mergeCell ref="AI3:AJ3"/>
    <mergeCell ref="W3:X3"/>
    <mergeCell ref="AA3:AB3"/>
    <mergeCell ref="W2:AB2"/>
    <mergeCell ref="AE2:AJ2"/>
    <mergeCell ref="D6:K6"/>
    <mergeCell ref="D7:K7"/>
    <mergeCell ref="B27:R27"/>
    <mergeCell ref="B18:D18"/>
    <mergeCell ref="W16:X16"/>
    <mergeCell ref="AE16:AF16"/>
    <mergeCell ref="B15:D15"/>
    <mergeCell ref="K15:M15"/>
    <mergeCell ref="K19:M19"/>
    <mergeCell ref="K20:M20"/>
    <mergeCell ref="AL16:AM16"/>
    <mergeCell ref="B16:D16"/>
    <mergeCell ref="K16:M16"/>
    <mergeCell ref="B21:D21"/>
    <mergeCell ref="E25:R25"/>
    <mergeCell ref="B23:D23"/>
    <mergeCell ref="K17:M17"/>
    <mergeCell ref="B20:D20"/>
    <mergeCell ref="K18:M18"/>
    <mergeCell ref="E17:G17"/>
    <mergeCell ref="M8:P8"/>
    <mergeCell ref="B19:D19"/>
    <mergeCell ref="B35:R35"/>
    <mergeCell ref="B34:R34"/>
    <mergeCell ref="B32:R32"/>
    <mergeCell ref="B31:R31"/>
    <mergeCell ref="B30:R30"/>
    <mergeCell ref="B29:R29"/>
  </mergeCells>
  <conditionalFormatting sqref="W28:W40 AA28:AA40 AP28:AP41 AE44:AF51 W55:W75 AA55:AA75 AE55:AE75 W77:W78">
    <cfRule type="containsErrors" priority="2"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6.xml><?xml version="1.0" encoding="utf-8"?>
<worksheet xmlns="http://schemas.openxmlformats.org/spreadsheetml/2006/main" xmlns:r="http://schemas.openxmlformats.org/officeDocument/2006/relationships">
  <sheetPr codeName="Sheet11"/>
  <dimension ref="A1:DU78"/>
  <sheetViews>
    <sheetView showGridLines="0" showZeros="0" zoomScaleSheetLayoutView="100" workbookViewId="0" topLeftCell="A1">
      <selection activeCell="E15" sqref="E15"/>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#4"</f>
        <v>WATER BOILING TEST - VERSION 4.2.3 - TEST #4</v>
      </c>
      <c r="B2" s="638"/>
      <c r="C2" s="638"/>
      <c r="D2" s="638"/>
      <c r="E2" s="638"/>
      <c r="F2" s="638"/>
      <c r="G2" s="638"/>
      <c r="H2" s="638"/>
      <c r="I2" s="638"/>
      <c r="J2" s="638"/>
      <c r="K2" s="638"/>
      <c r="L2" s="638"/>
      <c r="M2" s="638"/>
      <c r="N2" s="638"/>
      <c r="O2" s="638"/>
      <c r="P2" s="638"/>
      <c r="Q2" s="638"/>
      <c r="R2" s="638"/>
      <c r="S2" s="638"/>
      <c r="T2" s="10"/>
      <c r="U2" s="293" t="str">
        <f>"TEST #4 "&amp;D7</f>
        <v>TEST #4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#4 "&amp;D7</f>
        <v>TEST #4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#4 "&amp;D7</f>
        <v>TEST #4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7.xml><?xml version="1.0" encoding="utf-8"?>
<worksheet xmlns="http://schemas.openxmlformats.org/spreadsheetml/2006/main" xmlns:r="http://schemas.openxmlformats.org/officeDocument/2006/relationships">
  <sheetPr codeName="Sheet13"/>
  <dimension ref="A1:DU78"/>
  <sheetViews>
    <sheetView showGridLines="0" showZeros="0" zoomScaleSheetLayoutView="100" zoomScalePageLayoutView="0" workbookViewId="0" topLeftCell="A1">
      <selection activeCell="K17" sqref="K17:M17"/>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#5"</f>
        <v>WATER BOILING TEST - VERSION 4.2.3 - TEST #5</v>
      </c>
      <c r="B2" s="638"/>
      <c r="C2" s="638"/>
      <c r="D2" s="638"/>
      <c r="E2" s="638"/>
      <c r="F2" s="638"/>
      <c r="G2" s="638"/>
      <c r="H2" s="638"/>
      <c r="I2" s="638"/>
      <c r="J2" s="638"/>
      <c r="K2" s="638"/>
      <c r="L2" s="638"/>
      <c r="M2" s="638"/>
      <c r="N2" s="638"/>
      <c r="O2" s="638"/>
      <c r="P2" s="638"/>
      <c r="Q2" s="638"/>
      <c r="R2" s="638"/>
      <c r="S2" s="638"/>
      <c r="T2" s="10"/>
      <c r="U2" s="293" t="str">
        <f>"TEST #5 "&amp;D7</f>
        <v>TEST #5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#5 "&amp;D7</f>
        <v>TEST #5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#5 "&amp;D7</f>
        <v>TEST #5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8.xml><?xml version="1.0" encoding="utf-8"?>
<worksheet xmlns="http://schemas.openxmlformats.org/spreadsheetml/2006/main" xmlns:r="http://schemas.openxmlformats.org/officeDocument/2006/relationships">
  <sheetPr codeName="Sheet12"/>
  <dimension ref="A1:DU78"/>
  <sheetViews>
    <sheetView showGridLines="0" showZeros="0" zoomScaleSheetLayoutView="100" zoomScalePageLayoutView="0" workbookViewId="0" topLeftCell="A1">
      <selection activeCell="K17" sqref="K17:M17"/>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#6"</f>
        <v>WATER BOILING TEST - VERSION 4.2.3 - TEST #6</v>
      </c>
      <c r="B2" s="638"/>
      <c r="C2" s="638"/>
      <c r="D2" s="638"/>
      <c r="E2" s="638"/>
      <c r="F2" s="638"/>
      <c r="G2" s="638"/>
      <c r="H2" s="638"/>
      <c r="I2" s="638"/>
      <c r="J2" s="638"/>
      <c r="K2" s="638"/>
      <c r="L2" s="638"/>
      <c r="M2" s="638"/>
      <c r="N2" s="638"/>
      <c r="O2" s="638"/>
      <c r="P2" s="638"/>
      <c r="Q2" s="638"/>
      <c r="R2" s="638"/>
      <c r="S2" s="638"/>
      <c r="T2" s="10"/>
      <c r="U2" s="293" t="str">
        <f>"TEST #6 "&amp;D7</f>
        <v>TEST #6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#6 "&amp;D7</f>
        <v>TEST #6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#6 "&amp;D7</f>
        <v>TEST #6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xl/worksheets/sheet9.xml><?xml version="1.0" encoding="utf-8"?>
<worksheet xmlns="http://schemas.openxmlformats.org/spreadsheetml/2006/main" xmlns:r="http://schemas.openxmlformats.org/officeDocument/2006/relationships">
  <sheetPr codeName="Sheet14"/>
  <dimension ref="A1:DU78"/>
  <sheetViews>
    <sheetView showGridLines="0" showZeros="0" zoomScaleSheetLayoutView="100" zoomScalePageLayoutView="0" workbookViewId="0" topLeftCell="A12">
      <selection activeCell="E15" sqref="E15"/>
    </sheetView>
  </sheetViews>
  <sheetFormatPr defaultColWidth="15.7109375" defaultRowHeight="27.75" customHeight="1"/>
  <cols>
    <col min="1" max="1" width="1.7109375" style="1" customWidth="1"/>
    <col min="2" max="2" width="14.57421875" style="1" customWidth="1"/>
    <col min="3" max="3" width="6.57421875" style="2" customWidth="1"/>
    <col min="4" max="4" width="12.7109375" style="1" customWidth="1"/>
    <col min="5" max="5" width="8.140625" style="1" customWidth="1"/>
    <col min="6" max="6" width="2.00390625" style="1" customWidth="1"/>
    <col min="7" max="7" width="6.00390625" style="1" customWidth="1"/>
    <col min="8" max="8" width="2.00390625" style="2" customWidth="1"/>
    <col min="9" max="9" width="7.28125" style="2" customWidth="1"/>
    <col min="10" max="10" width="1.7109375" style="2" customWidth="1"/>
    <col min="11" max="11" width="14.421875" style="2" customWidth="1"/>
    <col min="12" max="12" width="5.7109375" style="2" customWidth="1"/>
    <col min="13" max="13" width="14.57421875" style="2" customWidth="1"/>
    <col min="14" max="14" width="7.7109375" style="2" customWidth="1"/>
    <col min="15" max="15" width="2.00390625" style="2" customWidth="1"/>
    <col min="16" max="16" width="6.57421875" style="2" customWidth="1"/>
    <col min="17" max="17" width="2.00390625" style="2" customWidth="1"/>
    <col min="18" max="18" width="7.28125" style="2" customWidth="1"/>
    <col min="19" max="19" width="1.7109375" style="1" customWidth="1"/>
    <col min="20" max="20" width="1.7109375" style="3" customWidth="1"/>
    <col min="21" max="21" width="25.421875" style="3" customWidth="1"/>
    <col min="22" max="22" width="13.8515625" style="3" bestFit="1" customWidth="1"/>
    <col min="23" max="23" width="12.00390625" style="3" customWidth="1"/>
    <col min="24" max="24" width="5.421875" style="3" customWidth="1"/>
    <col min="25" max="25" width="0.5625" style="3" customWidth="1"/>
    <col min="26" max="26" width="0.85546875" style="3" customWidth="1"/>
    <col min="27" max="27" width="8.7109375" style="3" customWidth="1"/>
    <col min="28" max="28" width="6.7109375" style="3" customWidth="1"/>
    <col min="29" max="30" width="0.85546875" style="3" customWidth="1"/>
    <col min="31" max="31" width="8.140625" style="3" customWidth="1"/>
    <col min="32" max="32" width="5.8515625" style="3" customWidth="1"/>
    <col min="33" max="33" width="0.85546875" style="3" customWidth="1"/>
    <col min="34" max="34" width="0.71875" style="3" customWidth="1"/>
    <col min="35" max="35" width="8.140625" style="3" customWidth="1"/>
    <col min="36" max="36" width="5.140625" style="3" customWidth="1"/>
    <col min="37" max="37" width="0.85546875" style="3" customWidth="1"/>
    <col min="38" max="38" width="8.57421875" style="3" customWidth="1"/>
    <col min="39" max="39" width="7.28125" style="3" customWidth="1"/>
    <col min="40" max="41" width="0.9921875" style="3" customWidth="1"/>
    <col min="42" max="42" width="8.140625" style="3" customWidth="1"/>
    <col min="43" max="43" width="6.140625" style="3" customWidth="1"/>
    <col min="44" max="44" width="1.7109375" style="3" customWidth="1"/>
    <col min="45" max="45" width="8.421875" style="0" customWidth="1"/>
    <col min="46" max="46" width="5.8515625" style="0" customWidth="1"/>
    <col min="47" max="47" width="6.421875" style="0" customWidth="1"/>
    <col min="48" max="48" width="5.421875" style="0" customWidth="1"/>
    <col min="49" max="49" width="6.7109375" style="0" customWidth="1"/>
    <col min="50" max="50" width="7.421875" style="0" customWidth="1"/>
    <col min="51" max="51" width="20.8515625" style="0" customWidth="1"/>
    <col min="52" max="53" width="1.7109375" style="0" customWidth="1"/>
    <col min="54" max="54" width="33.7109375" style="0" customWidth="1"/>
    <col min="55" max="55" width="5.8515625" style="0" customWidth="1"/>
    <col min="56" max="56" width="6.421875" style="0" customWidth="1"/>
    <col min="57" max="57" width="5.421875" style="0" customWidth="1"/>
    <col min="58" max="58" width="6.7109375" style="0" customWidth="1"/>
    <col min="59" max="59" width="7.421875" style="0" customWidth="1"/>
    <col min="60" max="60" width="20.8515625" style="0" customWidth="1"/>
    <col min="61" max="61" width="0" style="0" hidden="1" customWidth="1"/>
    <col min="62" max="70" width="9.00390625" style="0" customWidth="1"/>
    <col min="71" max="122" width="8.8515625" style="0" customWidth="1"/>
    <col min="123" max="16384" width="15.7109375" style="1" customWidth="1"/>
  </cols>
  <sheetData>
    <row r="1" spans="1:125" ht="6" customHeight="1" thickBot="1" thickTop="1">
      <c r="A1" s="4"/>
      <c r="B1" s="5"/>
      <c r="C1" s="5"/>
      <c r="D1" s="5"/>
      <c r="E1" s="5"/>
      <c r="F1" s="5"/>
      <c r="G1" s="5"/>
      <c r="H1" s="5"/>
      <c r="I1" s="5"/>
      <c r="J1" s="5"/>
      <c r="K1" s="5"/>
      <c r="L1" s="5"/>
      <c r="M1" s="5"/>
      <c r="N1" s="5"/>
      <c r="O1" s="5"/>
      <c r="P1" s="5"/>
      <c r="Q1" s="5"/>
      <c r="R1" s="5"/>
      <c r="S1" s="6"/>
      <c r="T1" s="7"/>
      <c r="U1" s="8"/>
      <c r="V1" s="8"/>
      <c r="W1" s="8"/>
      <c r="X1" s="8"/>
      <c r="Y1" s="8"/>
      <c r="Z1" s="8"/>
      <c r="AA1" s="8"/>
      <c r="AB1" s="8"/>
      <c r="AC1" s="8"/>
      <c r="AD1" s="8"/>
      <c r="AE1" s="8"/>
      <c r="AF1" s="8"/>
      <c r="AG1" s="8"/>
      <c r="AH1" s="8"/>
      <c r="AI1" s="8"/>
      <c r="AJ1" s="8"/>
      <c r="AK1" s="8"/>
      <c r="AL1" s="8"/>
      <c r="AM1" s="8"/>
      <c r="AN1" s="8"/>
      <c r="AO1" s="8"/>
      <c r="AP1" s="8"/>
      <c r="AQ1" s="8"/>
      <c r="AR1" s="9"/>
      <c r="AS1" s="25"/>
      <c r="AT1" s="2"/>
      <c r="DS1"/>
      <c r="DT1"/>
      <c r="DU1"/>
    </row>
    <row r="2" spans="1:44" ht="13.5" customHeight="1" thickBot="1">
      <c r="A2" s="638" t="str">
        <f>"WATER BOILING TEST - VERSION "&amp;version&amp;" - TEST #7"</f>
        <v>WATER BOILING TEST - VERSION 4.2.3 - TEST #7</v>
      </c>
      <c r="B2" s="638"/>
      <c r="C2" s="638"/>
      <c r="D2" s="638"/>
      <c r="E2" s="638"/>
      <c r="F2" s="638"/>
      <c r="G2" s="638"/>
      <c r="H2" s="638"/>
      <c r="I2" s="638"/>
      <c r="J2" s="638"/>
      <c r="K2" s="638"/>
      <c r="L2" s="638"/>
      <c r="M2" s="638"/>
      <c r="N2" s="638"/>
      <c r="O2" s="638"/>
      <c r="P2" s="638"/>
      <c r="Q2" s="638"/>
      <c r="R2" s="638"/>
      <c r="S2" s="638"/>
      <c r="T2" s="10"/>
      <c r="U2" s="293" t="str">
        <f>"TEST #7 "&amp;D7</f>
        <v>TEST #7 </v>
      </c>
      <c r="V2" s="11"/>
      <c r="W2" s="639" t="s">
        <v>0</v>
      </c>
      <c r="X2" s="639"/>
      <c r="Y2" s="639"/>
      <c r="Z2" s="639"/>
      <c r="AA2" s="639"/>
      <c r="AB2" s="639"/>
      <c r="AC2" s="294"/>
      <c r="AD2" s="12"/>
      <c r="AE2" s="639" t="s">
        <v>1</v>
      </c>
      <c r="AF2" s="639"/>
      <c r="AG2" s="639"/>
      <c r="AH2" s="639"/>
      <c r="AI2" s="639"/>
      <c r="AJ2" s="639"/>
      <c r="AK2" s="13"/>
      <c r="AL2" s="639" t="s">
        <v>2</v>
      </c>
      <c r="AM2" s="639"/>
      <c r="AN2" s="639"/>
      <c r="AO2" s="639"/>
      <c r="AP2" s="639"/>
      <c r="AQ2" s="639"/>
      <c r="AR2" s="14"/>
    </row>
    <row r="3" spans="1:44" ht="12.75" customHeight="1">
      <c r="A3" s="16"/>
      <c r="B3" s="17" t="s">
        <v>748</v>
      </c>
      <c r="C3" s="17"/>
      <c r="D3" s="17"/>
      <c r="E3" s="17"/>
      <c r="F3" s="17"/>
      <c r="G3" s="17"/>
      <c r="H3" s="17"/>
      <c r="I3" s="17"/>
      <c r="J3" s="17"/>
      <c r="K3" s="17"/>
      <c r="L3" s="17"/>
      <c r="M3" s="17"/>
      <c r="N3" s="17"/>
      <c r="O3" s="17"/>
      <c r="P3" s="17"/>
      <c r="Q3" s="17"/>
      <c r="R3" s="17"/>
      <c r="S3" s="18"/>
      <c r="T3" s="19"/>
      <c r="U3" s="20"/>
      <c r="V3" s="21"/>
      <c r="W3" s="642" t="s">
        <v>3</v>
      </c>
      <c r="X3" s="642"/>
      <c r="Y3" s="23"/>
      <c r="Z3" s="13"/>
      <c r="AA3" s="643" t="s">
        <v>4</v>
      </c>
      <c r="AB3" s="643"/>
      <c r="AC3" s="24"/>
      <c r="AD3" s="12"/>
      <c r="AE3" s="644" t="s">
        <v>3</v>
      </c>
      <c r="AF3" s="644"/>
      <c r="AG3" s="23"/>
      <c r="AH3" s="13"/>
      <c r="AI3" s="643" t="s">
        <v>4</v>
      </c>
      <c r="AJ3" s="643"/>
      <c r="AK3" s="12"/>
      <c r="AL3" s="640" t="s">
        <v>3</v>
      </c>
      <c r="AM3" s="640"/>
      <c r="AN3" s="23"/>
      <c r="AO3" s="13"/>
      <c r="AP3" s="641" t="s">
        <v>5</v>
      </c>
      <c r="AQ3" s="641"/>
      <c r="AR3" s="14"/>
    </row>
    <row r="4" spans="1:44" ht="12.75" customHeight="1">
      <c r="A4" s="25"/>
      <c r="B4" s="26" t="s">
        <v>749</v>
      </c>
      <c r="C4" s="26"/>
      <c r="D4" s="26"/>
      <c r="E4" s="26"/>
      <c r="F4" s="26"/>
      <c r="G4" s="26"/>
      <c r="H4" s="26"/>
      <c r="I4" s="26"/>
      <c r="J4" s="27"/>
      <c r="K4" s="27"/>
      <c r="L4" s="27"/>
      <c r="M4" s="27"/>
      <c r="N4" s="27"/>
      <c r="O4" s="27"/>
      <c r="P4" s="27"/>
      <c r="Q4" s="27"/>
      <c r="R4" s="27"/>
      <c r="S4" s="15"/>
      <c r="T4" s="28"/>
      <c r="U4" s="29"/>
      <c r="V4" s="30"/>
      <c r="W4" s="31"/>
      <c r="X4" s="31"/>
      <c r="Y4" s="32"/>
      <c r="Z4" s="33"/>
      <c r="AA4" s="649" t="s">
        <v>6</v>
      </c>
      <c r="AB4" s="649"/>
      <c r="AC4" s="24"/>
      <c r="AD4" s="12"/>
      <c r="AE4" s="31"/>
      <c r="AF4" s="31"/>
      <c r="AG4" s="32"/>
      <c r="AH4" s="33"/>
      <c r="AI4" s="649" t="s">
        <v>6</v>
      </c>
      <c r="AJ4" s="649"/>
      <c r="AK4" s="12"/>
      <c r="AL4" s="645"/>
      <c r="AM4" s="645"/>
      <c r="AN4" s="34"/>
      <c r="AO4" s="31"/>
      <c r="AP4" s="647"/>
      <c r="AQ4" s="647"/>
      <c r="AR4" s="14"/>
    </row>
    <row r="5" spans="1:44" ht="13.5" customHeight="1" thickBot="1">
      <c r="A5" s="25"/>
      <c r="B5" s="35" t="s">
        <v>7</v>
      </c>
      <c r="D5" s="2"/>
      <c r="E5" s="2"/>
      <c r="F5" s="2"/>
      <c r="G5" s="2"/>
      <c r="S5" s="15"/>
      <c r="T5" s="28"/>
      <c r="U5" s="36" t="s">
        <v>8</v>
      </c>
      <c r="V5" s="37" t="s">
        <v>9</v>
      </c>
      <c r="W5" s="38" t="s">
        <v>10</v>
      </c>
      <c r="X5" s="38" t="s">
        <v>11</v>
      </c>
      <c r="Y5" s="39"/>
      <c r="Z5" s="38"/>
      <c r="AA5" s="38" t="s">
        <v>10</v>
      </c>
      <c r="AB5" s="37" t="s">
        <v>11</v>
      </c>
      <c r="AC5" s="24"/>
      <c r="AD5" s="12"/>
      <c r="AE5" s="38" t="s">
        <v>10</v>
      </c>
      <c r="AF5" s="38" t="s">
        <v>11</v>
      </c>
      <c r="AG5" s="40"/>
      <c r="AH5" s="41"/>
      <c r="AI5" s="38" t="s">
        <v>10</v>
      </c>
      <c r="AJ5" s="37" t="s">
        <v>11</v>
      </c>
      <c r="AK5" s="12"/>
      <c r="AL5" s="38" t="s">
        <v>10</v>
      </c>
      <c r="AM5" s="38" t="s">
        <v>11</v>
      </c>
      <c r="AN5" s="40"/>
      <c r="AO5" s="41"/>
      <c r="AP5" s="38" t="s">
        <v>10</v>
      </c>
      <c r="AQ5" s="37" t="s">
        <v>11</v>
      </c>
      <c r="AR5" s="14"/>
    </row>
    <row r="6" spans="1:44" ht="15.75" customHeight="1">
      <c r="A6" s="25"/>
      <c r="B6" s="2" t="s">
        <v>12</v>
      </c>
      <c r="D6" s="648"/>
      <c r="E6" s="648"/>
      <c r="F6" s="648"/>
      <c r="G6" s="648"/>
      <c r="H6" s="648"/>
      <c r="I6" s="648"/>
      <c r="J6" s="648"/>
      <c r="K6" s="648"/>
      <c r="M6" s="653" t="s">
        <v>834</v>
      </c>
      <c r="N6" s="653"/>
      <c r="O6" s="653"/>
      <c r="P6" s="653"/>
      <c r="Q6" s="303"/>
      <c r="R6" s="303"/>
      <c r="S6" s="15"/>
      <c r="T6" s="28"/>
      <c r="U6" s="30" t="s">
        <v>716</v>
      </c>
      <c r="V6" s="24" t="s">
        <v>13</v>
      </c>
      <c r="W6" s="42"/>
      <c r="X6" s="43" t="s">
        <v>14</v>
      </c>
      <c r="Y6" s="44"/>
      <c r="Z6" s="43"/>
      <c r="AA6" s="42"/>
      <c r="AB6" s="45" t="s">
        <v>15</v>
      </c>
      <c r="AC6" s="45"/>
      <c r="AD6" s="12"/>
      <c r="AE6" s="42"/>
      <c r="AF6" s="43" t="s">
        <v>16</v>
      </c>
      <c r="AG6" s="46"/>
      <c r="AH6" s="13"/>
      <c r="AI6" s="42"/>
      <c r="AJ6" s="45" t="s">
        <v>17</v>
      </c>
      <c r="AK6" s="12"/>
      <c r="AL6" s="42"/>
      <c r="AM6" s="43" t="s">
        <v>18</v>
      </c>
      <c r="AN6" s="46"/>
      <c r="AO6" s="13"/>
      <c r="AP6" s="42"/>
      <c r="AQ6" s="45" t="s">
        <v>19</v>
      </c>
      <c r="AR6" s="14"/>
    </row>
    <row r="7" spans="1:44" ht="15.75" customHeight="1">
      <c r="A7" s="25"/>
      <c r="B7" s="2" t="s">
        <v>27</v>
      </c>
      <c r="D7" s="648"/>
      <c r="E7" s="648"/>
      <c r="F7" s="648"/>
      <c r="G7" s="648"/>
      <c r="H7" s="648"/>
      <c r="I7" s="648"/>
      <c r="J7" s="648"/>
      <c r="K7" s="648"/>
      <c r="M7" s="673" t="s">
        <v>970</v>
      </c>
      <c r="N7" s="673"/>
      <c r="O7" s="673"/>
      <c r="P7" s="673"/>
      <c r="Q7" s="303"/>
      <c r="R7" s="303"/>
      <c r="S7" s="15"/>
      <c r="T7" s="28"/>
      <c r="U7" s="30" t="s">
        <v>874</v>
      </c>
      <c r="V7" s="24" t="s">
        <v>20</v>
      </c>
      <c r="W7" s="47"/>
      <c r="X7" s="43" t="s">
        <v>21</v>
      </c>
      <c r="Y7" s="44"/>
      <c r="Z7" s="43"/>
      <c r="AA7" s="47"/>
      <c r="AB7" s="45" t="s">
        <v>22</v>
      </c>
      <c r="AC7" s="45"/>
      <c r="AD7" s="12"/>
      <c r="AE7" s="47"/>
      <c r="AF7" s="43" t="s">
        <v>23</v>
      </c>
      <c r="AG7" s="46"/>
      <c r="AH7" s="13"/>
      <c r="AI7" s="47"/>
      <c r="AJ7" s="45" t="s">
        <v>24</v>
      </c>
      <c r="AK7" s="12"/>
      <c r="AL7" s="47"/>
      <c r="AM7" s="43" t="s">
        <v>25</v>
      </c>
      <c r="AN7" s="46"/>
      <c r="AO7" s="13"/>
      <c r="AP7" s="47"/>
      <c r="AQ7" s="45" t="s">
        <v>26</v>
      </c>
      <c r="AR7" s="14"/>
    </row>
    <row r="8" spans="1:44" ht="15.75" customHeight="1">
      <c r="A8" s="25"/>
      <c r="B8" s="2" t="s">
        <v>36</v>
      </c>
      <c r="D8" s="651"/>
      <c r="E8" s="648"/>
      <c r="F8" s="648"/>
      <c r="G8" s="648"/>
      <c r="H8" s="648"/>
      <c r="I8" s="648"/>
      <c r="J8" s="648"/>
      <c r="K8" s="648"/>
      <c r="M8" s="665" t="s">
        <v>954</v>
      </c>
      <c r="N8" s="665"/>
      <c r="O8" s="665"/>
      <c r="P8" s="665"/>
      <c r="Q8" s="303"/>
      <c r="R8" s="303"/>
      <c r="S8" s="15"/>
      <c r="T8" s="28"/>
      <c r="U8" s="30" t="s">
        <v>28</v>
      </c>
      <c r="V8" s="24" t="s">
        <v>29</v>
      </c>
      <c r="W8" s="48"/>
      <c r="X8" s="49" t="s">
        <v>30</v>
      </c>
      <c r="Y8" s="50"/>
      <c r="Z8" s="49"/>
      <c r="AA8" s="48"/>
      <c r="AB8" s="51" t="s">
        <v>31</v>
      </c>
      <c r="AC8" s="51"/>
      <c r="AD8" s="52"/>
      <c r="AE8" s="48"/>
      <c r="AF8" s="49" t="s">
        <v>32</v>
      </c>
      <c r="AG8" s="53"/>
      <c r="AH8" s="54"/>
      <c r="AI8" s="48"/>
      <c r="AJ8" s="45" t="s">
        <v>33</v>
      </c>
      <c r="AK8" s="12"/>
      <c r="AL8" s="48"/>
      <c r="AM8" s="43" t="s">
        <v>34</v>
      </c>
      <c r="AN8" s="46"/>
      <c r="AO8" s="13"/>
      <c r="AP8" s="48"/>
      <c r="AQ8" s="45" t="s">
        <v>35</v>
      </c>
      <c r="AR8" s="14"/>
    </row>
    <row r="9" spans="1:44" ht="15.75" customHeight="1">
      <c r="A9" s="25"/>
      <c r="B9" s="2" t="s">
        <v>50</v>
      </c>
      <c r="D9" s="652">
        <f>'General Information'!C7</f>
        <v>0</v>
      </c>
      <c r="E9" s="652"/>
      <c r="F9" s="652"/>
      <c r="G9" s="652"/>
      <c r="H9" s="652"/>
      <c r="I9" s="652"/>
      <c r="J9" s="652"/>
      <c r="K9" s="652"/>
      <c r="M9" s="303"/>
      <c r="N9" s="303"/>
      <c r="O9" s="303"/>
      <c r="P9" s="303"/>
      <c r="Q9" s="303"/>
      <c r="R9" s="303"/>
      <c r="S9" s="15"/>
      <c r="T9" s="28"/>
      <c r="U9" s="55" t="s">
        <v>37</v>
      </c>
      <c r="V9" s="24" t="s">
        <v>29</v>
      </c>
      <c r="W9" s="48"/>
      <c r="X9" s="49" t="s">
        <v>185</v>
      </c>
      <c r="Y9" s="50"/>
      <c r="Z9" s="49"/>
      <c r="AA9" s="48"/>
      <c r="AB9" s="51" t="s">
        <v>38</v>
      </c>
      <c r="AC9" s="51"/>
      <c r="AD9" s="52"/>
      <c r="AE9" s="48"/>
      <c r="AF9" s="49" t="s">
        <v>39</v>
      </c>
      <c r="AG9" s="53"/>
      <c r="AH9" s="54"/>
      <c r="AI9" s="48"/>
      <c r="AJ9" s="45" t="s">
        <v>40</v>
      </c>
      <c r="AK9" s="12"/>
      <c r="AL9" s="48"/>
      <c r="AM9" s="56" t="s">
        <v>41</v>
      </c>
      <c r="AN9" s="57"/>
      <c r="AO9" s="58"/>
      <c r="AP9" s="48"/>
      <c r="AQ9" s="59" t="s">
        <v>42</v>
      </c>
      <c r="AR9" s="14"/>
    </row>
    <row r="10" spans="1:44" ht="15.75" customHeight="1">
      <c r="A10" s="25"/>
      <c r="B10" s="2" t="s">
        <v>43</v>
      </c>
      <c r="D10" s="632">
        <f>'General Information'!C10</f>
        <v>0</v>
      </c>
      <c r="E10" s="632"/>
      <c r="F10" s="632"/>
      <c r="G10" s="632"/>
      <c r="H10" s="632"/>
      <c r="I10" s="632"/>
      <c r="J10" s="632"/>
      <c r="K10" s="632"/>
      <c r="S10" s="15"/>
      <c r="T10" s="28"/>
      <c r="U10" s="55" t="s">
        <v>44</v>
      </c>
      <c r="V10" s="24" t="s">
        <v>29</v>
      </c>
      <c r="W10" s="48"/>
      <c r="X10" s="49" t="s">
        <v>186</v>
      </c>
      <c r="Y10" s="50"/>
      <c r="Z10" s="49"/>
      <c r="AA10" s="48"/>
      <c r="AB10" s="51" t="s">
        <v>45</v>
      </c>
      <c r="AC10" s="51"/>
      <c r="AD10" s="52"/>
      <c r="AE10" s="48"/>
      <c r="AF10" s="49" t="s">
        <v>46</v>
      </c>
      <c r="AG10" s="53"/>
      <c r="AH10" s="54"/>
      <c r="AI10" s="48"/>
      <c r="AJ10" s="45" t="s">
        <v>47</v>
      </c>
      <c r="AK10" s="12"/>
      <c r="AL10" s="48"/>
      <c r="AM10" s="56" t="s">
        <v>48</v>
      </c>
      <c r="AN10" s="57"/>
      <c r="AO10" s="58"/>
      <c r="AP10" s="48"/>
      <c r="AQ10" s="59" t="s">
        <v>49</v>
      </c>
      <c r="AR10" s="14"/>
    </row>
    <row r="11" spans="1:44" ht="15.75" customHeight="1">
      <c r="A11" s="25"/>
      <c r="B11" s="2" t="s">
        <v>58</v>
      </c>
      <c r="D11" s="650">
        <f>'General Information'!J3</f>
        <v>0</v>
      </c>
      <c r="E11" s="650"/>
      <c r="F11" s="650"/>
      <c r="G11" s="650"/>
      <c r="H11" s="650"/>
      <c r="I11" s="650"/>
      <c r="J11" s="650"/>
      <c r="K11" s="650"/>
      <c r="S11" s="15"/>
      <c r="T11" s="28"/>
      <c r="U11" s="55" t="s">
        <v>51</v>
      </c>
      <c r="V11" s="24" t="s">
        <v>29</v>
      </c>
      <c r="W11" s="48"/>
      <c r="X11" s="49" t="s">
        <v>52</v>
      </c>
      <c r="Y11" s="50"/>
      <c r="Z11" s="49"/>
      <c r="AA11" s="48"/>
      <c r="AB11" s="51" t="s">
        <v>53</v>
      </c>
      <c r="AC11" s="51"/>
      <c r="AD11" s="52"/>
      <c r="AE11" s="48"/>
      <c r="AF11" s="49" t="s">
        <v>54</v>
      </c>
      <c r="AG11" s="53"/>
      <c r="AH11" s="54"/>
      <c r="AI11" s="48"/>
      <c r="AJ11" s="45" t="s">
        <v>55</v>
      </c>
      <c r="AK11" s="12"/>
      <c r="AL11" s="48"/>
      <c r="AM11" s="56" t="s">
        <v>56</v>
      </c>
      <c r="AN11" s="57"/>
      <c r="AO11" s="58"/>
      <c r="AP11" s="48"/>
      <c r="AQ11" s="59" t="s">
        <v>57</v>
      </c>
      <c r="AR11" s="14"/>
    </row>
    <row r="12" spans="1:44" ht="15.75" customHeight="1">
      <c r="A12" s="25"/>
      <c r="B12" s="2"/>
      <c r="D12" s="60"/>
      <c r="E12" s="60"/>
      <c r="F12" s="60"/>
      <c r="G12" s="60"/>
      <c r="H12" s="60"/>
      <c r="I12" s="60"/>
      <c r="J12" s="60"/>
      <c r="S12" s="15"/>
      <c r="T12" s="28"/>
      <c r="U12" s="30" t="s">
        <v>59</v>
      </c>
      <c r="V12" s="24" t="s">
        <v>20</v>
      </c>
      <c r="W12" s="47"/>
      <c r="X12" s="43" t="s">
        <v>60</v>
      </c>
      <c r="Y12" s="44"/>
      <c r="Z12" s="43"/>
      <c r="AA12" s="47"/>
      <c r="AB12" s="45" t="s">
        <v>61</v>
      </c>
      <c r="AC12" s="45"/>
      <c r="AD12" s="12"/>
      <c r="AE12" s="47"/>
      <c r="AF12" s="43" t="s">
        <v>62</v>
      </c>
      <c r="AG12" s="46"/>
      <c r="AH12" s="13"/>
      <c r="AI12" s="47"/>
      <c r="AJ12" s="45" t="s">
        <v>63</v>
      </c>
      <c r="AK12" s="12"/>
      <c r="AL12" s="47"/>
      <c r="AM12" s="56" t="s">
        <v>64</v>
      </c>
      <c r="AN12" s="57"/>
      <c r="AO12" s="61"/>
      <c r="AP12" s="47"/>
      <c r="AQ12" s="59" t="s">
        <v>65</v>
      </c>
      <c r="AR12" s="14"/>
    </row>
    <row r="13" spans="1:44" ht="15.75" customHeight="1" thickBot="1">
      <c r="A13" s="25"/>
      <c r="B13" s="62" t="s">
        <v>80</v>
      </c>
      <c r="C13" s="63"/>
      <c r="D13" s="64"/>
      <c r="E13" s="65"/>
      <c r="F13" s="64"/>
      <c r="G13" s="64"/>
      <c r="H13" s="64"/>
      <c r="I13" s="64"/>
      <c r="J13" s="64"/>
      <c r="K13" s="66"/>
      <c r="L13" s="66"/>
      <c r="M13" s="66"/>
      <c r="N13" s="66"/>
      <c r="O13" s="66"/>
      <c r="P13" s="66"/>
      <c r="Q13" s="66"/>
      <c r="R13" s="66"/>
      <c r="S13" s="15"/>
      <c r="T13" s="28"/>
      <c r="U13" s="55" t="s">
        <v>66</v>
      </c>
      <c r="V13" s="24" t="s">
        <v>20</v>
      </c>
      <c r="W13" s="47"/>
      <c r="X13" s="43" t="s">
        <v>67</v>
      </c>
      <c r="Y13" s="44"/>
      <c r="Z13" s="43"/>
      <c r="AA13" s="47"/>
      <c r="AB13" s="45" t="s">
        <v>68</v>
      </c>
      <c r="AC13" s="45"/>
      <c r="AD13" s="12"/>
      <c r="AE13" s="47"/>
      <c r="AF13" s="43" t="s">
        <v>69</v>
      </c>
      <c r="AG13" s="46"/>
      <c r="AH13" s="13"/>
      <c r="AI13" s="47"/>
      <c r="AJ13" s="45" t="s">
        <v>70</v>
      </c>
      <c r="AK13" s="12"/>
      <c r="AL13" s="47"/>
      <c r="AM13" s="56" t="s">
        <v>71</v>
      </c>
      <c r="AN13" s="57"/>
      <c r="AO13" s="58"/>
      <c r="AP13" s="47"/>
      <c r="AQ13" s="59" t="s">
        <v>72</v>
      </c>
      <c r="AR13" s="14"/>
    </row>
    <row r="14" spans="1:44" ht="15.75" customHeight="1">
      <c r="A14" s="25"/>
      <c r="B14" s="634" t="s">
        <v>88</v>
      </c>
      <c r="C14" s="634"/>
      <c r="D14" s="634"/>
      <c r="E14" s="67" t="s">
        <v>89</v>
      </c>
      <c r="F14" s="67"/>
      <c r="G14" s="67" t="s">
        <v>90</v>
      </c>
      <c r="H14" s="68"/>
      <c r="I14" s="69" t="s">
        <v>11</v>
      </c>
      <c r="J14" s="68"/>
      <c r="K14" s="68" t="s">
        <v>88</v>
      </c>
      <c r="L14" s="68"/>
      <c r="M14" s="68"/>
      <c r="N14" s="67" t="s">
        <v>89</v>
      </c>
      <c r="O14" s="67"/>
      <c r="P14" s="68" t="s">
        <v>90</v>
      </c>
      <c r="Q14" s="68"/>
      <c r="R14" s="69" t="s">
        <v>11</v>
      </c>
      <c r="S14" s="15"/>
      <c r="T14" s="28"/>
      <c r="U14" s="55" t="s">
        <v>73</v>
      </c>
      <c r="V14" s="24" t="s">
        <v>20</v>
      </c>
      <c r="W14" s="47"/>
      <c r="X14" s="43" t="s">
        <v>74</v>
      </c>
      <c r="Y14" s="44"/>
      <c r="Z14" s="43"/>
      <c r="AA14" s="47"/>
      <c r="AB14" s="45" t="s">
        <v>75</v>
      </c>
      <c r="AC14" s="45"/>
      <c r="AD14" s="12"/>
      <c r="AE14" s="47"/>
      <c r="AF14" s="43" t="s">
        <v>76</v>
      </c>
      <c r="AG14" s="46"/>
      <c r="AH14" s="13"/>
      <c r="AI14" s="47"/>
      <c r="AJ14" s="45" t="s">
        <v>77</v>
      </c>
      <c r="AK14" s="12"/>
      <c r="AL14" s="47"/>
      <c r="AM14" s="56" t="s">
        <v>78</v>
      </c>
      <c r="AN14" s="57"/>
      <c r="AO14" s="58"/>
      <c r="AP14" s="47"/>
      <c r="AQ14" s="59" t="s">
        <v>79</v>
      </c>
      <c r="AR14" s="14"/>
    </row>
    <row r="15" spans="1:44" ht="15.75" customHeight="1">
      <c r="A15" s="25"/>
      <c r="B15" s="626" t="s">
        <v>702</v>
      </c>
      <c r="C15" s="626"/>
      <c r="D15" s="626"/>
      <c r="E15" s="73"/>
      <c r="F15" s="74"/>
      <c r="G15" s="2" t="s">
        <v>29</v>
      </c>
      <c r="J15" s="75"/>
      <c r="K15" s="626" t="s">
        <v>93</v>
      </c>
      <c r="L15" s="626"/>
      <c r="M15" s="626"/>
      <c r="N15" s="211"/>
      <c r="O15" s="74"/>
      <c r="P15" s="22" t="s">
        <v>20</v>
      </c>
      <c r="R15" s="43" t="s">
        <v>94</v>
      </c>
      <c r="S15" s="15"/>
      <c r="T15" s="28"/>
      <c r="U15" s="55" t="s">
        <v>81</v>
      </c>
      <c r="V15" s="24" t="s">
        <v>20</v>
      </c>
      <c r="W15" s="47"/>
      <c r="X15" s="43" t="s">
        <v>82</v>
      </c>
      <c r="Y15" s="44"/>
      <c r="Z15" s="43"/>
      <c r="AA15" s="47"/>
      <c r="AB15" s="45" t="s">
        <v>83</v>
      </c>
      <c r="AC15" s="45"/>
      <c r="AD15" s="12"/>
      <c r="AE15" s="47"/>
      <c r="AF15" s="43" t="s">
        <v>84</v>
      </c>
      <c r="AG15" s="46"/>
      <c r="AH15" s="13"/>
      <c r="AI15" s="47"/>
      <c r="AJ15" s="45" t="s">
        <v>85</v>
      </c>
      <c r="AK15" s="12"/>
      <c r="AL15" s="47"/>
      <c r="AM15" s="56" t="s">
        <v>86</v>
      </c>
      <c r="AN15" s="57"/>
      <c r="AO15" s="58"/>
      <c r="AP15" s="47"/>
      <c r="AQ15" s="59" t="s">
        <v>87</v>
      </c>
      <c r="AR15" s="14"/>
    </row>
    <row r="16" spans="1:44" ht="15.75" customHeight="1">
      <c r="A16" s="25"/>
      <c r="B16" s="626" t="s">
        <v>722</v>
      </c>
      <c r="C16" s="626"/>
      <c r="D16" s="626"/>
      <c r="E16" s="74">
        <v>1</v>
      </c>
      <c r="F16" s="74"/>
      <c r="G16" s="2"/>
      <c r="J16" s="75"/>
      <c r="K16" s="626" t="s">
        <v>99</v>
      </c>
      <c r="L16" s="626"/>
      <c r="M16" s="626"/>
      <c r="N16" s="211"/>
      <c r="O16" s="74"/>
      <c r="P16" s="22" t="s">
        <v>20</v>
      </c>
      <c r="R16" s="43" t="s">
        <v>100</v>
      </c>
      <c r="S16" s="15"/>
      <c r="T16" s="28"/>
      <c r="U16" s="55" t="s">
        <v>91</v>
      </c>
      <c r="V16" s="24" t="s">
        <v>92</v>
      </c>
      <c r="W16" s="633"/>
      <c r="X16" s="633"/>
      <c r="Y16" s="70"/>
      <c r="Z16" s="71"/>
      <c r="AA16" s="72"/>
      <c r="AB16" s="45"/>
      <c r="AC16" s="45"/>
      <c r="AD16" s="12"/>
      <c r="AE16" s="633"/>
      <c r="AF16" s="633"/>
      <c r="AG16" s="46"/>
      <c r="AH16" s="13"/>
      <c r="AI16" s="72"/>
      <c r="AJ16" s="21"/>
      <c r="AK16" s="12"/>
      <c r="AL16" s="633"/>
      <c r="AM16" s="633"/>
      <c r="AN16" s="46"/>
      <c r="AO16" s="13"/>
      <c r="AP16" s="13"/>
      <c r="AQ16" s="21"/>
      <c r="AR16" s="14"/>
    </row>
    <row r="17" spans="1:44" ht="15.75" customHeight="1">
      <c r="A17" s="25"/>
      <c r="B17" s="1" t="s">
        <v>772</v>
      </c>
      <c r="E17" s="636"/>
      <c r="F17" s="636"/>
      <c r="G17" s="636"/>
      <c r="J17" s="75"/>
      <c r="K17" s="626" t="s">
        <v>104</v>
      </c>
      <c r="L17" s="626"/>
      <c r="M17" s="626"/>
      <c r="N17" s="211"/>
      <c r="O17" s="74"/>
      <c r="P17" s="22" t="s">
        <v>20</v>
      </c>
      <c r="R17" s="43" t="s">
        <v>105</v>
      </c>
      <c r="S17" s="15"/>
      <c r="T17" s="28"/>
      <c r="U17" s="30" t="s">
        <v>95</v>
      </c>
      <c r="V17" s="24" t="s">
        <v>20</v>
      </c>
      <c r="W17" s="76"/>
      <c r="X17" s="2"/>
      <c r="Y17" s="77"/>
      <c r="Z17" s="2"/>
      <c r="AA17" s="47"/>
      <c r="AB17" s="45" t="s">
        <v>96</v>
      </c>
      <c r="AC17" s="45"/>
      <c r="AD17" s="12"/>
      <c r="AE17" s="76"/>
      <c r="AF17" s="43"/>
      <c r="AG17" s="46"/>
      <c r="AH17" s="13"/>
      <c r="AI17" s="78">
        <f>AA17</f>
        <v>0</v>
      </c>
      <c r="AJ17" s="45" t="s">
        <v>97</v>
      </c>
      <c r="AK17" s="12"/>
      <c r="AL17" s="2"/>
      <c r="AM17" s="43"/>
      <c r="AN17" s="46"/>
      <c r="AO17" s="13"/>
      <c r="AP17" s="47"/>
      <c r="AQ17" s="45" t="s">
        <v>98</v>
      </c>
      <c r="AR17" s="14"/>
    </row>
    <row r="18" spans="1:44" ht="15" customHeight="1">
      <c r="A18" s="25"/>
      <c r="B18" s="626" t="s">
        <v>815</v>
      </c>
      <c r="C18" s="626"/>
      <c r="D18" s="626"/>
      <c r="E18" s="279"/>
      <c r="F18" s="87"/>
      <c r="G18" s="2" t="s">
        <v>113</v>
      </c>
      <c r="I18" s="22" t="s">
        <v>930</v>
      </c>
      <c r="J18" s="75"/>
      <c r="K18" s="626" t="s">
        <v>108</v>
      </c>
      <c r="L18" s="626"/>
      <c r="M18" s="626"/>
      <c r="N18" s="211"/>
      <c r="O18" s="74"/>
      <c r="P18" s="22" t="s">
        <v>20</v>
      </c>
      <c r="R18" s="43" t="s">
        <v>109</v>
      </c>
      <c r="S18" s="15"/>
      <c r="T18" s="28"/>
      <c r="U18" s="30" t="s">
        <v>791</v>
      </c>
      <c r="V18" s="24" t="s">
        <v>781</v>
      </c>
      <c r="W18" s="76"/>
      <c r="X18" s="2"/>
      <c r="Y18" s="77"/>
      <c r="Z18" s="2"/>
      <c r="AA18" s="451"/>
      <c r="AB18" s="45" t="s">
        <v>793</v>
      </c>
      <c r="AC18" s="45"/>
      <c r="AD18" s="12"/>
      <c r="AE18" s="76"/>
      <c r="AF18" s="43"/>
      <c r="AG18" s="46"/>
      <c r="AH18" s="13"/>
      <c r="AI18" s="451"/>
      <c r="AJ18" s="45" t="s">
        <v>796</v>
      </c>
      <c r="AK18" s="12"/>
      <c r="AL18" s="2"/>
      <c r="AM18" s="43"/>
      <c r="AN18" s="46"/>
      <c r="AO18" s="13"/>
      <c r="AP18" s="451"/>
      <c r="AQ18" s="45" t="s">
        <v>799</v>
      </c>
      <c r="AR18" s="14"/>
    </row>
    <row r="19" spans="1:44" ht="15" customHeight="1">
      <c r="A19" s="25"/>
      <c r="B19" s="626" t="s">
        <v>101</v>
      </c>
      <c r="C19" s="626"/>
      <c r="D19" s="626"/>
      <c r="E19" s="83">
        <f>'General Information'!L21</f>
        <v>19734</v>
      </c>
      <c r="F19" s="84"/>
      <c r="G19" s="2" t="s">
        <v>102</v>
      </c>
      <c r="I19" s="22" t="s">
        <v>103</v>
      </c>
      <c r="J19" s="75"/>
      <c r="K19" s="626" t="s">
        <v>114</v>
      </c>
      <c r="L19" s="626"/>
      <c r="M19" s="626"/>
      <c r="N19" s="211"/>
      <c r="O19" s="74"/>
      <c r="P19" s="22" t="s">
        <v>20</v>
      </c>
      <c r="R19" s="43" t="s">
        <v>115</v>
      </c>
      <c r="S19" s="15"/>
      <c r="T19" s="10"/>
      <c r="U19" s="289" t="s">
        <v>792</v>
      </c>
      <c r="V19" s="24" t="s">
        <v>781</v>
      </c>
      <c r="W19" s="76"/>
      <c r="X19" s="2"/>
      <c r="Y19" s="77"/>
      <c r="Z19" s="2">
        <v>10</v>
      </c>
      <c r="AA19" s="451"/>
      <c r="AB19" s="45" t="s">
        <v>794</v>
      </c>
      <c r="AC19" s="45"/>
      <c r="AD19" s="12"/>
      <c r="AE19" s="76"/>
      <c r="AF19" s="43"/>
      <c r="AG19" s="46"/>
      <c r="AH19" s="13"/>
      <c r="AI19" s="451"/>
      <c r="AJ19" s="45" t="s">
        <v>797</v>
      </c>
      <c r="AK19" s="12"/>
      <c r="AL19" s="2"/>
      <c r="AM19" s="43"/>
      <c r="AN19" s="46"/>
      <c r="AO19" s="13"/>
      <c r="AP19" s="451"/>
      <c r="AQ19" s="45" t="s">
        <v>800</v>
      </c>
      <c r="AR19" s="14"/>
    </row>
    <row r="20" spans="1:44" ht="15" customHeight="1">
      <c r="A20" s="25"/>
      <c r="B20" s="626" t="s">
        <v>106</v>
      </c>
      <c r="C20" s="626"/>
      <c r="D20" s="626"/>
      <c r="E20" s="85">
        <f>'General Information'!L22</f>
        <v>18414</v>
      </c>
      <c r="F20" s="84"/>
      <c r="G20" s="2" t="s">
        <v>102</v>
      </c>
      <c r="I20" s="22" t="s">
        <v>107</v>
      </c>
      <c r="J20" s="75"/>
      <c r="K20" s="626" t="s">
        <v>117</v>
      </c>
      <c r="L20" s="626"/>
      <c r="M20" s="626"/>
      <c r="N20" s="210">
        <f>'General Information'!C20</f>
        <v>98</v>
      </c>
      <c r="O20" s="74"/>
      <c r="P20" s="22" t="s">
        <v>29</v>
      </c>
      <c r="R20" s="43" t="s">
        <v>118</v>
      </c>
      <c r="S20" s="15"/>
      <c r="T20" s="10"/>
      <c r="U20" s="289" t="s">
        <v>789</v>
      </c>
      <c r="V20" s="24" t="s">
        <v>790</v>
      </c>
      <c r="W20" s="424"/>
      <c r="X20" s="425"/>
      <c r="Y20" s="427"/>
      <c r="Z20" s="425"/>
      <c r="AA20" s="452"/>
      <c r="AB20" s="45" t="s">
        <v>795</v>
      </c>
      <c r="AC20" s="45"/>
      <c r="AD20" s="82"/>
      <c r="AE20" s="424"/>
      <c r="AF20" s="425"/>
      <c r="AG20" s="436"/>
      <c r="AH20" s="422"/>
      <c r="AI20" s="452"/>
      <c r="AJ20" s="45" t="s">
        <v>798</v>
      </c>
      <c r="AK20" s="82"/>
      <c r="AL20" s="424"/>
      <c r="AM20" s="425"/>
      <c r="AN20" s="436"/>
      <c r="AO20" s="422"/>
      <c r="AP20" s="452"/>
      <c r="AQ20" s="45" t="s">
        <v>801</v>
      </c>
      <c r="AR20" s="14"/>
    </row>
    <row r="21" spans="1:44" ht="15" customHeight="1">
      <c r="A21" s="25"/>
      <c r="B21" s="637" t="s">
        <v>783</v>
      </c>
      <c r="C21" s="637"/>
      <c r="D21" s="637"/>
      <c r="F21" s="87"/>
      <c r="I21" s="1"/>
      <c r="J21" s="75"/>
      <c r="K21" s="96" t="s">
        <v>780</v>
      </c>
      <c r="L21" s="43"/>
      <c r="M21" s="43"/>
      <c r="N21" s="507"/>
      <c r="O21" s="43"/>
      <c r="P21" s="43" t="s">
        <v>781</v>
      </c>
      <c r="Q21" s="43"/>
      <c r="R21" s="43" t="s">
        <v>786</v>
      </c>
      <c r="S21" s="15"/>
      <c r="T21" s="10"/>
      <c r="U21" s="489" t="s">
        <v>944</v>
      </c>
      <c r="V21" s="490" t="s">
        <v>29</v>
      </c>
      <c r="W21" s="426"/>
      <c r="X21" s="425"/>
      <c r="Y21" s="425"/>
      <c r="Z21" s="491"/>
      <c r="AA21" s="511"/>
      <c r="AB21" s="492" t="s">
        <v>945</v>
      </c>
      <c r="AC21" s="45"/>
      <c r="AD21" s="82"/>
      <c r="AE21" s="493"/>
      <c r="AF21" s="425"/>
      <c r="AG21" s="425"/>
      <c r="AH21" s="494"/>
      <c r="AI21" s="511"/>
      <c r="AJ21" s="492" t="s">
        <v>946</v>
      </c>
      <c r="AK21" s="422"/>
      <c r="AL21" s="493"/>
      <c r="AM21" s="425"/>
      <c r="AN21" s="427"/>
      <c r="AO21" s="425"/>
      <c r="AP21" s="511"/>
      <c r="AQ21" s="492" t="s">
        <v>947</v>
      </c>
      <c r="AR21" s="14"/>
    </row>
    <row r="22" spans="1:44" ht="15" customHeight="1">
      <c r="A22" s="25"/>
      <c r="B22" s="288" t="s">
        <v>782</v>
      </c>
      <c r="C22" s="281"/>
      <c r="D22" s="281"/>
      <c r="E22" s="83">
        <f>E20*(1-E18)-(E18*((N20-E15)*4.2+2260))</f>
        <v>18414</v>
      </c>
      <c r="F22" s="87"/>
      <c r="G22" s="2" t="s">
        <v>102</v>
      </c>
      <c r="I22" s="22" t="s">
        <v>929</v>
      </c>
      <c r="J22" s="75"/>
      <c r="K22" s="96"/>
      <c r="L22" s="43"/>
      <c r="M22" s="282" t="s">
        <v>784</v>
      </c>
      <c r="N22" s="507"/>
      <c r="O22" s="43"/>
      <c r="P22" s="43" t="s">
        <v>781</v>
      </c>
      <c r="Q22" s="43"/>
      <c r="R22" s="43" t="s">
        <v>787</v>
      </c>
      <c r="S22" s="15"/>
      <c r="T22" s="10"/>
      <c r="U22" s="289" t="s">
        <v>955</v>
      </c>
      <c r="V22" s="24" t="s">
        <v>20</v>
      </c>
      <c r="W22" s="76"/>
      <c r="X22" s="2"/>
      <c r="Y22" s="77"/>
      <c r="Z22" s="2"/>
      <c r="AA22" s="451"/>
      <c r="AB22" s="442" t="s">
        <v>915</v>
      </c>
      <c r="AC22" s="45"/>
      <c r="AD22" s="12"/>
      <c r="AE22" s="76"/>
      <c r="AF22" s="43"/>
      <c r="AG22" s="46"/>
      <c r="AH22" s="13"/>
      <c r="AI22" s="451"/>
      <c r="AJ22" s="504" t="s">
        <v>969</v>
      </c>
      <c r="AK22" s="21"/>
      <c r="AL22" s="2"/>
      <c r="AM22" s="43"/>
      <c r="AN22" s="46"/>
      <c r="AO22" s="13"/>
      <c r="AP22" s="451"/>
      <c r="AQ22" s="444" t="s">
        <v>917</v>
      </c>
      <c r="AR22" s="14"/>
    </row>
    <row r="23" spans="1:44" ht="15" customHeight="1">
      <c r="A23" s="25"/>
      <c r="B23" s="635" t="s">
        <v>736</v>
      </c>
      <c r="C23" s="635"/>
      <c r="D23" s="635"/>
      <c r="E23" s="83">
        <f>'General Information'!L11</f>
        <v>29500</v>
      </c>
      <c r="F23" s="2"/>
      <c r="G23" s="2" t="s">
        <v>102</v>
      </c>
      <c r="J23" s="75"/>
      <c r="K23" s="96"/>
      <c r="L23" s="43"/>
      <c r="M23" s="282" t="s">
        <v>785</v>
      </c>
      <c r="N23" s="507"/>
      <c r="O23" s="43"/>
      <c r="P23" s="43" t="s">
        <v>790</v>
      </c>
      <c r="Q23" s="43"/>
      <c r="R23" s="43" t="s">
        <v>788</v>
      </c>
      <c r="S23" s="15"/>
      <c r="T23" s="10"/>
      <c r="U23" s="289" t="s">
        <v>956</v>
      </c>
      <c r="V23" s="24" t="s">
        <v>20</v>
      </c>
      <c r="W23" s="76"/>
      <c r="X23" s="2"/>
      <c r="Y23" s="77"/>
      <c r="Z23" s="2">
        <v>10</v>
      </c>
      <c r="AA23" s="451"/>
      <c r="AB23" s="443" t="s">
        <v>912</v>
      </c>
      <c r="AC23" s="45"/>
      <c r="AD23" s="12"/>
      <c r="AE23" s="76"/>
      <c r="AF23" s="43"/>
      <c r="AG23" s="46"/>
      <c r="AH23" s="13"/>
      <c r="AI23" s="451"/>
      <c r="AJ23" s="400" t="s">
        <v>913</v>
      </c>
      <c r="AK23" s="12"/>
      <c r="AL23" s="2"/>
      <c r="AM23" s="43"/>
      <c r="AN23" s="46"/>
      <c r="AO23" s="13"/>
      <c r="AP23" s="451"/>
      <c r="AQ23" s="444" t="s">
        <v>914</v>
      </c>
      <c r="AR23" s="14"/>
    </row>
    <row r="24" spans="1:44" ht="15.75" customHeight="1" thickBot="1">
      <c r="A24" s="25"/>
      <c r="D24" s="97"/>
      <c r="E24" s="98"/>
      <c r="F24" s="2"/>
      <c r="G24" s="2"/>
      <c r="K24" s="96"/>
      <c r="L24" s="43"/>
      <c r="M24" s="43"/>
      <c r="N24" s="43"/>
      <c r="O24" s="43"/>
      <c r="P24" s="43"/>
      <c r="Q24" s="43"/>
      <c r="R24" s="43"/>
      <c r="S24" s="15"/>
      <c r="T24" s="10"/>
      <c r="U24" s="495" t="s">
        <v>957</v>
      </c>
      <c r="V24" s="37" t="s">
        <v>20</v>
      </c>
      <c r="W24" s="79"/>
      <c r="X24" s="80"/>
      <c r="Y24" s="81"/>
      <c r="Z24" s="80"/>
      <c r="AA24" s="496"/>
      <c r="AB24" s="497" t="s">
        <v>909</v>
      </c>
      <c r="AC24" s="498"/>
      <c r="AD24" s="499"/>
      <c r="AE24" s="79"/>
      <c r="AF24" s="80"/>
      <c r="AG24" s="500"/>
      <c r="AH24" s="501"/>
      <c r="AI24" s="496"/>
      <c r="AJ24" s="502" t="s">
        <v>910</v>
      </c>
      <c r="AK24" s="499"/>
      <c r="AL24" s="79"/>
      <c r="AM24" s="80"/>
      <c r="AN24" s="500"/>
      <c r="AO24" s="501"/>
      <c r="AP24" s="496"/>
      <c r="AQ24" s="503" t="s">
        <v>911</v>
      </c>
      <c r="AR24" s="14"/>
    </row>
    <row r="25" spans="1:44" ht="15.75" customHeight="1" thickBot="1">
      <c r="A25" s="25"/>
      <c r="B25" s="99" t="s">
        <v>737</v>
      </c>
      <c r="C25" s="100"/>
      <c r="D25" s="101"/>
      <c r="E25" s="630"/>
      <c r="F25" s="630"/>
      <c r="G25" s="630"/>
      <c r="H25" s="630"/>
      <c r="I25" s="630"/>
      <c r="J25" s="630"/>
      <c r="K25" s="630"/>
      <c r="L25" s="630"/>
      <c r="M25" s="630"/>
      <c r="N25" s="630"/>
      <c r="O25" s="630"/>
      <c r="P25" s="630"/>
      <c r="Q25" s="630"/>
      <c r="R25" s="631"/>
      <c r="S25" s="15"/>
      <c r="T25" s="1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14"/>
    </row>
    <row r="26" spans="1:44" ht="15.75" customHeight="1">
      <c r="A26" s="25"/>
      <c r="B26" s="623"/>
      <c r="C26" s="624"/>
      <c r="D26" s="624"/>
      <c r="E26" s="624"/>
      <c r="F26" s="624"/>
      <c r="G26" s="624"/>
      <c r="H26" s="624"/>
      <c r="I26" s="624"/>
      <c r="J26" s="624"/>
      <c r="K26" s="624"/>
      <c r="L26" s="624"/>
      <c r="M26" s="624"/>
      <c r="N26" s="624"/>
      <c r="O26" s="624"/>
      <c r="P26" s="624"/>
      <c r="Q26" s="624"/>
      <c r="R26" s="625"/>
      <c r="S26" s="15"/>
      <c r="T26" s="10"/>
      <c r="U26" s="430"/>
      <c r="V26" s="13"/>
      <c r="W26" s="86" t="s">
        <v>110</v>
      </c>
      <c r="X26" s="13"/>
      <c r="Y26" s="23"/>
      <c r="Z26" s="13"/>
      <c r="AA26" s="86" t="s">
        <v>111</v>
      </c>
      <c r="AB26" s="13"/>
      <c r="AC26" s="13"/>
      <c r="AD26" s="21"/>
      <c r="AE26" s="121" t="s">
        <v>965</v>
      </c>
      <c r="AF26" s="13"/>
      <c r="AG26" s="13"/>
      <c r="AH26" s="13"/>
      <c r="AI26" s="13"/>
      <c r="AJ26" s="13"/>
      <c r="AK26" s="13"/>
      <c r="AL26" s="13"/>
      <c r="AM26" s="13"/>
      <c r="AN26" s="13"/>
      <c r="AO26" s="13"/>
      <c r="AP26" s="13"/>
      <c r="AQ26" s="13"/>
      <c r="AR26" s="438"/>
    </row>
    <row r="27" spans="1:44" ht="15.75" customHeight="1">
      <c r="A27" s="25"/>
      <c r="B27" s="623"/>
      <c r="C27" s="624"/>
      <c r="D27" s="624"/>
      <c r="E27" s="624"/>
      <c r="F27" s="624"/>
      <c r="G27" s="624"/>
      <c r="H27" s="624"/>
      <c r="I27" s="624"/>
      <c r="J27" s="624"/>
      <c r="K27" s="624"/>
      <c r="L27" s="624"/>
      <c r="M27" s="624"/>
      <c r="N27" s="624"/>
      <c r="O27" s="624"/>
      <c r="P27" s="624"/>
      <c r="Q27" s="624"/>
      <c r="R27" s="625"/>
      <c r="S27" s="15"/>
      <c r="T27" s="10"/>
      <c r="U27" s="431" t="s">
        <v>116</v>
      </c>
      <c r="V27" s="89" t="s">
        <v>9</v>
      </c>
      <c r="W27" s="89" t="s">
        <v>10</v>
      </c>
      <c r="X27" s="89" t="s">
        <v>11</v>
      </c>
      <c r="Y27" s="46"/>
      <c r="Z27" s="13"/>
      <c r="AA27" s="89" t="s">
        <v>10</v>
      </c>
      <c r="AB27" s="89" t="s">
        <v>11</v>
      </c>
      <c r="AC27" s="89"/>
      <c r="AD27" s="21"/>
      <c r="AE27" s="90" t="s">
        <v>116</v>
      </c>
      <c r="AF27" s="13"/>
      <c r="AG27" s="13"/>
      <c r="AH27" s="13"/>
      <c r="AI27" s="13"/>
      <c r="AJ27" s="13"/>
      <c r="AK27" s="13"/>
      <c r="AL27" s="13"/>
      <c r="AM27" s="89" t="s">
        <v>9</v>
      </c>
      <c r="AN27" s="13"/>
      <c r="AO27" s="13"/>
      <c r="AP27" s="89" t="s">
        <v>10</v>
      </c>
      <c r="AQ27" s="89" t="s">
        <v>11</v>
      </c>
      <c r="AR27" s="14"/>
    </row>
    <row r="28" spans="1:44" ht="15.75" customHeight="1">
      <c r="A28" s="25"/>
      <c r="B28" s="102"/>
      <c r="C28" s="103"/>
      <c r="D28" s="103"/>
      <c r="E28" s="103"/>
      <c r="F28" s="103"/>
      <c r="G28" s="103"/>
      <c r="H28" s="103"/>
      <c r="I28" s="103"/>
      <c r="J28" s="103"/>
      <c r="K28" s="103"/>
      <c r="L28" s="103"/>
      <c r="M28" s="103"/>
      <c r="N28" s="103"/>
      <c r="O28" s="103"/>
      <c r="P28" s="103"/>
      <c r="Q28" s="103"/>
      <c r="R28" s="104"/>
      <c r="S28" s="15"/>
      <c r="T28" s="10"/>
      <c r="U28" s="432" t="s">
        <v>875</v>
      </c>
      <c r="V28" s="92" t="s">
        <v>20</v>
      </c>
      <c r="W28" s="93">
        <f>W7-AA7</f>
        <v>0</v>
      </c>
      <c r="X28" s="56" t="s">
        <v>119</v>
      </c>
      <c r="Y28" s="57"/>
      <c r="Z28" s="61"/>
      <c r="AA28" s="93">
        <f>AE7-AI7</f>
        <v>0</v>
      </c>
      <c r="AB28" s="56" t="s">
        <v>120</v>
      </c>
      <c r="AC28" s="56"/>
      <c r="AD28" s="21"/>
      <c r="AE28" s="95" t="s">
        <v>877</v>
      </c>
      <c r="AF28" s="61"/>
      <c r="AG28" s="61"/>
      <c r="AH28" s="61"/>
      <c r="AI28" s="61"/>
      <c r="AJ28" s="61"/>
      <c r="AK28" s="61"/>
      <c r="AL28" s="61"/>
      <c r="AM28" s="92" t="s">
        <v>20</v>
      </c>
      <c r="AN28" s="61"/>
      <c r="AO28" s="61"/>
      <c r="AP28" s="93">
        <f>AL7-AP7</f>
        <v>0</v>
      </c>
      <c r="AQ28" s="56" t="s">
        <v>121</v>
      </c>
      <c r="AR28" s="14"/>
    </row>
    <row r="29" spans="1:44" ht="15.75" customHeight="1">
      <c r="A29" s="25"/>
      <c r="B29" s="623"/>
      <c r="C29" s="624"/>
      <c r="D29" s="624"/>
      <c r="E29" s="624"/>
      <c r="F29" s="624"/>
      <c r="G29" s="624"/>
      <c r="H29" s="624"/>
      <c r="I29" s="624"/>
      <c r="J29" s="624"/>
      <c r="K29" s="624"/>
      <c r="L29" s="624"/>
      <c r="M29" s="624"/>
      <c r="N29" s="624"/>
      <c r="O29" s="624"/>
      <c r="P29" s="624"/>
      <c r="Q29" s="624"/>
      <c r="R29" s="625"/>
      <c r="S29" s="15"/>
      <c r="T29" s="10"/>
      <c r="U29" s="432" t="s">
        <v>122</v>
      </c>
      <c r="V29" s="92" t="s">
        <v>20</v>
      </c>
      <c r="W29" s="93">
        <f>AA17-$N$19</f>
        <v>0</v>
      </c>
      <c r="X29" s="56" t="s">
        <v>123</v>
      </c>
      <c r="Y29" s="57"/>
      <c r="Z29" s="61"/>
      <c r="AA29" s="93">
        <f>IF(AA28=0,0,AI17-$N$19)</f>
        <v>0</v>
      </c>
      <c r="AB29" s="56" t="s">
        <v>124</v>
      </c>
      <c r="AC29" s="56"/>
      <c r="AD29" s="94"/>
      <c r="AE29" s="95" t="s">
        <v>125</v>
      </c>
      <c r="AF29" s="61"/>
      <c r="AG29" s="61"/>
      <c r="AH29" s="61"/>
      <c r="AI29" s="61"/>
      <c r="AJ29" s="61"/>
      <c r="AK29" s="61"/>
      <c r="AL29" s="61"/>
      <c r="AM29" s="92" t="s">
        <v>20</v>
      </c>
      <c r="AN29" s="61"/>
      <c r="AO29" s="61"/>
      <c r="AP29" s="93">
        <f>(AP17-$N$19)-W29</f>
        <v>0</v>
      </c>
      <c r="AQ29" s="56" t="s">
        <v>126</v>
      </c>
      <c r="AR29" s="14"/>
    </row>
    <row r="30" spans="1:44" ht="15.75" customHeight="1">
      <c r="A30" s="25"/>
      <c r="B30" s="623"/>
      <c r="C30" s="624"/>
      <c r="D30" s="624"/>
      <c r="E30" s="624"/>
      <c r="F30" s="624"/>
      <c r="G30" s="624"/>
      <c r="H30" s="624"/>
      <c r="I30" s="624"/>
      <c r="J30" s="624"/>
      <c r="K30" s="624"/>
      <c r="L30" s="624"/>
      <c r="M30" s="624"/>
      <c r="N30" s="624"/>
      <c r="O30" s="624"/>
      <c r="P30" s="624"/>
      <c r="Q30" s="624"/>
      <c r="R30" s="625"/>
      <c r="S30" s="15"/>
      <c r="T30" s="10"/>
      <c r="U30" s="432" t="s">
        <v>876</v>
      </c>
      <c r="V30" s="92" t="s">
        <v>20</v>
      </c>
      <c r="W30" s="367">
        <f>(W28*($E$20*(1-$E$18)-$E$18*(4.186*($N$20-$E$15)+2257))-W29*$E23)/$E$20</f>
        <v>0</v>
      </c>
      <c r="X30" s="368" t="s">
        <v>127</v>
      </c>
      <c r="Y30" s="369"/>
      <c r="Z30" s="370"/>
      <c r="AA30" s="367">
        <f>IF(AA28=0,0,(AA28*($E$20*(1-$E$18)-$E$18*(4.186*($N$20-$E$15)+2257))-AA29*$E23)/$E$20)</f>
        <v>0</v>
      </c>
      <c r="AB30" s="368" t="s">
        <v>128</v>
      </c>
      <c r="AC30" s="368"/>
      <c r="AD30" s="371"/>
      <c r="AE30" s="372" t="s">
        <v>876</v>
      </c>
      <c r="AF30" s="370"/>
      <c r="AG30" s="370"/>
      <c r="AH30" s="370"/>
      <c r="AI30" s="370"/>
      <c r="AJ30" s="370"/>
      <c r="AK30" s="370"/>
      <c r="AL30" s="370"/>
      <c r="AM30" s="373" t="s">
        <v>20</v>
      </c>
      <c r="AN30" s="370"/>
      <c r="AO30" s="370"/>
      <c r="AP30" s="367">
        <f>(AP28*($E$20*(1-$E$18)-$E$18*(4.186*($N$20-$E$15)+2257))-AP29*$E23)/$E$20</f>
        <v>0</v>
      </c>
      <c r="AQ30" s="56" t="s">
        <v>129</v>
      </c>
      <c r="AR30" s="14"/>
    </row>
    <row r="31" spans="1:44" ht="15.75" customHeight="1">
      <c r="A31" s="25"/>
      <c r="B31" s="623"/>
      <c r="C31" s="624"/>
      <c r="D31" s="624"/>
      <c r="E31" s="624"/>
      <c r="F31" s="624"/>
      <c r="G31" s="624"/>
      <c r="H31" s="624"/>
      <c r="I31" s="624"/>
      <c r="J31" s="624"/>
      <c r="K31" s="624"/>
      <c r="L31" s="624"/>
      <c r="M31" s="624"/>
      <c r="N31" s="624"/>
      <c r="O31" s="624"/>
      <c r="P31" s="624"/>
      <c r="Q31" s="624"/>
      <c r="R31" s="625"/>
      <c r="S31" s="15"/>
      <c r="T31" s="10"/>
      <c r="U31" s="432" t="s">
        <v>130</v>
      </c>
      <c r="V31" s="92" t="s">
        <v>20</v>
      </c>
      <c r="W31" s="93">
        <f>SUM(W12:W15)-SUM(AA12:AA15)</f>
        <v>0</v>
      </c>
      <c r="X31" s="56" t="s">
        <v>131</v>
      </c>
      <c r="Y31" s="57"/>
      <c r="Z31" s="61"/>
      <c r="AA31" s="93">
        <f>SUM(AE12:AE15)-SUM(AI12:AI15)</f>
        <v>0</v>
      </c>
      <c r="AB31" s="56" t="s">
        <v>132</v>
      </c>
      <c r="AC31" s="56"/>
      <c r="AD31" s="94"/>
      <c r="AE31" s="95" t="s">
        <v>133</v>
      </c>
      <c r="AF31" s="61"/>
      <c r="AG31" s="61"/>
      <c r="AH31" s="61"/>
      <c r="AI31" s="61"/>
      <c r="AJ31" s="61"/>
      <c r="AK31" s="61"/>
      <c r="AL31" s="61"/>
      <c r="AM31" s="92" t="s">
        <v>20</v>
      </c>
      <c r="AN31" s="61"/>
      <c r="AO31" s="61"/>
      <c r="AP31" s="93">
        <f>(AL12-AP12)+(AL13-AP13)+(AL14-AP14)+(AL15-AP15)</f>
        <v>0</v>
      </c>
      <c r="AQ31" s="56" t="s">
        <v>134</v>
      </c>
      <c r="AR31" s="14"/>
    </row>
    <row r="32" spans="1:44" ht="15.75" customHeight="1">
      <c r="A32" s="25"/>
      <c r="B32" s="623"/>
      <c r="C32" s="624"/>
      <c r="D32" s="624"/>
      <c r="E32" s="624"/>
      <c r="F32" s="624"/>
      <c r="G32" s="624"/>
      <c r="H32" s="624"/>
      <c r="I32" s="624"/>
      <c r="J32" s="624"/>
      <c r="K32" s="624"/>
      <c r="L32" s="624"/>
      <c r="M32" s="624"/>
      <c r="N32" s="624"/>
      <c r="O32" s="624"/>
      <c r="P32" s="624"/>
      <c r="Q32" s="624"/>
      <c r="R32" s="625"/>
      <c r="S32" s="15"/>
      <c r="T32" s="10"/>
      <c r="U32" s="432" t="s">
        <v>135</v>
      </c>
      <c r="V32" s="92" t="s">
        <v>20</v>
      </c>
      <c r="W32" s="93">
        <f>((AA12-$N15)*(AA8-W8)/($N$20-W8)+(AA13-$N16)*(AA9-W9)/($N$20-W9)+(AA14-$N17)*(AA10-W10)/($N$20-W10)+(AA15-$N18)*(AA11-W11)/($N$20-W11))</f>
        <v>0</v>
      </c>
      <c r="X32" s="56" t="s">
        <v>136</v>
      </c>
      <c r="Y32" s="57"/>
      <c r="Z32" s="61"/>
      <c r="AA32" s="93">
        <f>((AI12-$N15)*(AI8-AE8)/($N$20-AE8)+(AI13-$N16)*(AI9-AE9)/($N$20-AE9)+(AI14-$N17)*(AI10-AE10)/($N$20-AE10)+(AI15-$N18)*(AI11-AE11)/($N$20-AE11))</f>
        <v>0</v>
      </c>
      <c r="AB32" s="56" t="s">
        <v>137</v>
      </c>
      <c r="AC32" s="56"/>
      <c r="AD32" s="94"/>
      <c r="AE32" s="95" t="s">
        <v>138</v>
      </c>
      <c r="AF32" s="61"/>
      <c r="AG32" s="61"/>
      <c r="AH32" s="61"/>
      <c r="AI32" s="61"/>
      <c r="AJ32" s="61"/>
      <c r="AK32" s="61"/>
      <c r="AL32" s="61"/>
      <c r="AM32" s="92" t="s">
        <v>20</v>
      </c>
      <c r="AN32" s="61"/>
      <c r="AO32" s="61"/>
      <c r="AP32" s="93">
        <f>(AP12-$N$15+((AP9-25)/(N20-25))*(AP13-N16)+((AP10-25)/(N20-25))*(AP14-N17)+((AP11-25)/(N20-25))*(AP15-N18))</f>
        <v>0</v>
      </c>
      <c r="AQ32" s="56" t="s">
        <v>139</v>
      </c>
      <c r="AR32" s="14"/>
    </row>
    <row r="33" spans="1:44" ht="15.75" customHeight="1">
      <c r="A33" s="25"/>
      <c r="B33" s="102"/>
      <c r="C33" s="103"/>
      <c r="D33" s="103"/>
      <c r="E33" s="103"/>
      <c r="F33" s="103"/>
      <c r="G33" s="103"/>
      <c r="H33" s="103"/>
      <c r="I33" s="103"/>
      <c r="J33" s="103"/>
      <c r="K33" s="103"/>
      <c r="L33" s="103"/>
      <c r="M33" s="103"/>
      <c r="N33" s="103"/>
      <c r="O33" s="103"/>
      <c r="P33" s="103"/>
      <c r="Q33" s="103"/>
      <c r="R33" s="104"/>
      <c r="S33" s="15"/>
      <c r="T33" s="10"/>
      <c r="U33" s="432" t="s">
        <v>140</v>
      </c>
      <c r="V33" s="92" t="s">
        <v>141</v>
      </c>
      <c r="W33" s="93">
        <f>(AA6-W6)*1440</f>
        <v>0</v>
      </c>
      <c r="X33" s="56" t="s">
        <v>142</v>
      </c>
      <c r="Y33" s="57"/>
      <c r="Z33" s="61"/>
      <c r="AA33" s="93">
        <f>(AI6-AE6)*1440</f>
        <v>0</v>
      </c>
      <c r="AB33" s="56" t="s">
        <v>143</v>
      </c>
      <c r="AC33" s="56"/>
      <c r="AD33" s="94"/>
      <c r="AE33" s="95" t="s">
        <v>144</v>
      </c>
      <c r="AF33" s="61"/>
      <c r="AG33" s="61"/>
      <c r="AH33" s="61"/>
      <c r="AI33" s="61"/>
      <c r="AJ33" s="61"/>
      <c r="AK33" s="61"/>
      <c r="AL33" s="61"/>
      <c r="AM33" s="92" t="s">
        <v>141</v>
      </c>
      <c r="AN33" s="61"/>
      <c r="AO33" s="61"/>
      <c r="AP33" s="93">
        <f>(AP6-AL6)*1440</f>
        <v>0</v>
      </c>
      <c r="AQ33" s="56" t="s">
        <v>145</v>
      </c>
      <c r="AR33" s="14"/>
    </row>
    <row r="34" spans="1:44" ht="15.75" customHeight="1">
      <c r="A34" s="25"/>
      <c r="B34" s="623"/>
      <c r="C34" s="624"/>
      <c r="D34" s="624"/>
      <c r="E34" s="624"/>
      <c r="F34" s="624"/>
      <c r="G34" s="624"/>
      <c r="H34" s="624"/>
      <c r="I34" s="624"/>
      <c r="J34" s="624"/>
      <c r="K34" s="624"/>
      <c r="L34" s="624"/>
      <c r="M34" s="624"/>
      <c r="N34" s="624"/>
      <c r="O34" s="624"/>
      <c r="P34" s="624"/>
      <c r="Q34" s="624"/>
      <c r="R34" s="625"/>
      <c r="S34" s="15"/>
      <c r="T34" s="10"/>
      <c r="U34" s="432" t="s">
        <v>146</v>
      </c>
      <c r="V34" s="92" t="s">
        <v>141</v>
      </c>
      <c r="W34" s="367">
        <f>W33*75/(N20-W8)</f>
        <v>0</v>
      </c>
      <c r="X34" s="56" t="s">
        <v>147</v>
      </c>
      <c r="Y34" s="57"/>
      <c r="Z34" s="61"/>
      <c r="AA34" s="367">
        <f>AA33*75/(N20-AE8)</f>
        <v>0</v>
      </c>
      <c r="AB34" s="56" t="s">
        <v>148</v>
      </c>
      <c r="AC34" s="56"/>
      <c r="AD34" s="94"/>
      <c r="AE34" s="95" t="s">
        <v>149</v>
      </c>
      <c r="AF34" s="61"/>
      <c r="AG34" s="61"/>
      <c r="AH34" s="61"/>
      <c r="AI34" s="61"/>
      <c r="AJ34" s="61"/>
      <c r="AK34" s="61"/>
      <c r="AL34" s="61"/>
      <c r="AM34" s="92" t="s">
        <v>113</v>
      </c>
      <c r="AN34" s="61"/>
      <c r="AO34" s="61"/>
      <c r="AP34" s="487" t="e">
        <f>(4.186*((AL12-$N15+AP32)/2)*(AP8-AL8)+2260*AP31)/(AP30*$E$20)</f>
        <v>#DIV/0!</v>
      </c>
      <c r="AQ34" s="56" t="s">
        <v>150</v>
      </c>
      <c r="AR34" s="14"/>
    </row>
    <row r="35" spans="1:44" ht="15.75" customHeight="1">
      <c r="A35" s="25"/>
      <c r="B35" s="627"/>
      <c r="C35" s="628"/>
      <c r="D35" s="628"/>
      <c r="E35" s="628"/>
      <c r="F35" s="628"/>
      <c r="G35" s="628"/>
      <c r="H35" s="628"/>
      <c r="I35" s="628"/>
      <c r="J35" s="628"/>
      <c r="K35" s="628"/>
      <c r="L35" s="628"/>
      <c r="M35" s="628"/>
      <c r="N35" s="628"/>
      <c r="O35" s="628"/>
      <c r="P35" s="628"/>
      <c r="Q35" s="628"/>
      <c r="R35" s="629"/>
      <c r="S35" s="15"/>
      <c r="T35" s="10"/>
      <c r="U35" s="432" t="s">
        <v>149</v>
      </c>
      <c r="V35" s="92" t="s">
        <v>113</v>
      </c>
      <c r="W35" s="487" t="e">
        <f>(4.186*SUM((W12-$N15)*(AA8-W8),(W13-$N16)*(AA9-W9),(W14-$N17)*(AA10-W10),(W15-$N18)*(AA11-W11))+2260*W31)/(W30*$E20)</f>
        <v>#DIV/0!</v>
      </c>
      <c r="X35" s="56" t="s">
        <v>151</v>
      </c>
      <c r="Y35" s="57"/>
      <c r="Z35" s="61"/>
      <c r="AA35" s="487" t="e">
        <f>(4.186*SUM((AE12-$N15)*(AI8-AE8),(AE13-$N16)*(AI9-AE9),(AE14-$N17)*(AI10-AE10),(AE15-$N18)*(AI11-AE11))+2260*AA31)/(AA30*$E20)</f>
        <v>#DIV/0!</v>
      </c>
      <c r="AB35" s="56" t="s">
        <v>152</v>
      </c>
      <c r="AC35" s="56"/>
      <c r="AD35" s="94"/>
      <c r="AE35" s="95" t="s">
        <v>153</v>
      </c>
      <c r="AF35" s="61"/>
      <c r="AG35" s="61"/>
      <c r="AH35" s="61"/>
      <c r="AI35" s="61"/>
      <c r="AJ35" s="61"/>
      <c r="AK35" s="61"/>
      <c r="AL35" s="61"/>
      <c r="AM35" s="92" t="s">
        <v>154</v>
      </c>
      <c r="AN35" s="61"/>
      <c r="AO35" s="61"/>
      <c r="AP35" s="474" t="e">
        <f>AP30/AP33</f>
        <v>#DIV/0!</v>
      </c>
      <c r="AQ35" s="56" t="s">
        <v>155</v>
      </c>
      <c r="AR35" s="14"/>
    </row>
    <row r="36" spans="1:44" ht="15.75" customHeight="1" thickBot="1">
      <c r="A36" s="25"/>
      <c r="B36" s="113" t="s">
        <v>184</v>
      </c>
      <c r="C36" s="113"/>
      <c r="D36" s="113"/>
      <c r="E36" s="113"/>
      <c r="F36" s="113"/>
      <c r="G36" s="113"/>
      <c r="H36" s="113"/>
      <c r="I36" s="113"/>
      <c r="J36" s="113"/>
      <c r="K36" s="113"/>
      <c r="L36" s="113"/>
      <c r="M36" s="113"/>
      <c r="N36" s="113"/>
      <c r="O36" s="114"/>
      <c r="P36" s="114"/>
      <c r="Q36" s="114"/>
      <c r="R36" s="114"/>
      <c r="S36" s="15"/>
      <c r="T36" s="10"/>
      <c r="U36" s="432" t="s">
        <v>153</v>
      </c>
      <c r="V36" s="92" t="s">
        <v>154</v>
      </c>
      <c r="W36" s="474" t="e">
        <f>W30/W33</f>
        <v>#DIV/0!</v>
      </c>
      <c r="X36" s="92" t="s">
        <v>156</v>
      </c>
      <c r="Y36" s="57"/>
      <c r="Z36" s="61"/>
      <c r="AA36" s="474" t="e">
        <f>AA30/AA33</f>
        <v>#DIV/0!</v>
      </c>
      <c r="AB36" s="56" t="s">
        <v>157</v>
      </c>
      <c r="AC36" s="56"/>
      <c r="AD36" s="94"/>
      <c r="AE36" s="95" t="s">
        <v>158</v>
      </c>
      <c r="AF36" s="61"/>
      <c r="AG36" s="61"/>
      <c r="AH36" s="61"/>
      <c r="AI36" s="61"/>
      <c r="AJ36" s="61"/>
      <c r="AK36" s="61"/>
      <c r="AL36" s="61"/>
      <c r="AM36" s="92" t="s">
        <v>845</v>
      </c>
      <c r="AN36" s="61"/>
      <c r="AO36" s="61"/>
      <c r="AP36" s="474" t="e">
        <f>AP30/AP32*1000</f>
        <v>#DIV/0!</v>
      </c>
      <c r="AQ36" s="56" t="s">
        <v>160</v>
      </c>
      <c r="AR36" s="14"/>
    </row>
    <row r="37" spans="1:44" ht="13.5" customHeight="1" thickBot="1" thickTop="1">
      <c r="A37" s="112"/>
      <c r="B37" s="287"/>
      <c r="C37" s="287"/>
      <c r="D37" s="287"/>
      <c r="E37" s="287"/>
      <c r="F37" s="287"/>
      <c r="G37" s="287"/>
      <c r="H37" s="287"/>
      <c r="I37" s="287"/>
      <c r="J37" s="287"/>
      <c r="K37" s="287"/>
      <c r="L37" s="287"/>
      <c r="M37" s="287"/>
      <c r="N37" s="287"/>
      <c r="O37" s="287"/>
      <c r="P37" s="287"/>
      <c r="Q37" s="287"/>
      <c r="R37" s="287"/>
      <c r="S37" s="115"/>
      <c r="T37" s="10"/>
      <c r="U37" s="432" t="s">
        <v>158</v>
      </c>
      <c r="V37" s="92" t="s">
        <v>846</v>
      </c>
      <c r="W37" s="488" t="e">
        <f>1000*W30/W32</f>
        <v>#DIV/0!</v>
      </c>
      <c r="X37" s="56" t="s">
        <v>161</v>
      </c>
      <c r="Y37" s="57"/>
      <c r="Z37" s="61"/>
      <c r="AA37" s="488" t="e">
        <f>1000*AA30/AA32</f>
        <v>#DIV/0!</v>
      </c>
      <c r="AB37" s="56" t="s">
        <v>162</v>
      </c>
      <c r="AC37" s="56"/>
      <c r="AD37" s="94"/>
      <c r="AE37" s="95" t="s">
        <v>163</v>
      </c>
      <c r="AF37" s="61"/>
      <c r="AG37" s="61"/>
      <c r="AH37" s="61"/>
      <c r="AI37" s="61"/>
      <c r="AJ37" s="61"/>
      <c r="AK37" s="61"/>
      <c r="AL37" s="61"/>
      <c r="AM37" s="92" t="s">
        <v>164</v>
      </c>
      <c r="AN37" s="61"/>
      <c r="AO37" s="61"/>
      <c r="AP37" s="367" t="e">
        <f>AP30*$E$20/(AP33*60)</f>
        <v>#DIV/0!</v>
      </c>
      <c r="AQ37" s="56" t="s">
        <v>165</v>
      </c>
      <c r="AR37" s="14"/>
    </row>
    <row r="38" spans="2:44" ht="15" customHeight="1" thickTop="1">
      <c r="B38" s="121" t="str">
        <f>"TEST #7 "&amp;D7</f>
        <v>TEST #7 </v>
      </c>
      <c r="S38" s="2"/>
      <c r="T38" s="21"/>
      <c r="U38" s="432" t="s">
        <v>166</v>
      </c>
      <c r="V38" s="92" t="s">
        <v>159</v>
      </c>
      <c r="W38" s="488" t="e">
        <f>W37*75/($N$20-W8)</f>
        <v>#DIV/0!</v>
      </c>
      <c r="X38" s="56" t="s">
        <v>167</v>
      </c>
      <c r="Y38" s="57"/>
      <c r="Z38" s="61"/>
      <c r="AA38" s="488" t="e">
        <f>AA37*75/($N$20-AE8)</f>
        <v>#DIV/0!</v>
      </c>
      <c r="AB38" s="56" t="s">
        <v>168</v>
      </c>
      <c r="AC38" s="56"/>
      <c r="AD38" s="94"/>
      <c r="AE38" s="95" t="s">
        <v>169</v>
      </c>
      <c r="AF38" s="61"/>
      <c r="AG38" s="61"/>
      <c r="AH38" s="61"/>
      <c r="AI38" s="61"/>
      <c r="AJ38" s="61"/>
      <c r="AK38" s="61"/>
      <c r="AL38" s="61"/>
      <c r="AM38" s="92" t="s">
        <v>92</v>
      </c>
      <c r="AN38" s="61"/>
      <c r="AO38" s="61"/>
      <c r="AP38" s="470" t="e">
        <f>W40/AP37</f>
        <v>#DIV/0!</v>
      </c>
      <c r="AQ38" s="92" t="s">
        <v>170</v>
      </c>
      <c r="AR38" s="14"/>
    </row>
    <row r="39" spans="2:44" ht="15" customHeight="1" thickBot="1">
      <c r="B39" s="655" t="s">
        <v>747</v>
      </c>
      <c r="C39" s="656"/>
      <c r="D39" s="656"/>
      <c r="E39" s="656"/>
      <c r="F39" s="656"/>
      <c r="G39" s="656"/>
      <c r="H39" s="656"/>
      <c r="I39" s="656"/>
      <c r="J39" s="656"/>
      <c r="K39" s="656"/>
      <c r="L39" s="656"/>
      <c r="M39" s="656"/>
      <c r="N39" s="656"/>
      <c r="O39" s="656"/>
      <c r="P39" s="656"/>
      <c r="Q39" s="656"/>
      <c r="R39" s="657"/>
      <c r="T39" s="21"/>
      <c r="U39" s="432" t="s">
        <v>171</v>
      </c>
      <c r="V39" s="92" t="s">
        <v>172</v>
      </c>
      <c r="W39" s="93" t="e">
        <f>(W38/1000)*E20</f>
        <v>#DIV/0!</v>
      </c>
      <c r="X39" s="56" t="s">
        <v>173</v>
      </c>
      <c r="Y39" s="57"/>
      <c r="Z39" s="61"/>
      <c r="AA39" s="93" t="e">
        <f>(AA38/1000)*E20</f>
        <v>#DIV/0!</v>
      </c>
      <c r="AB39" s="56" t="s">
        <v>174</v>
      </c>
      <c r="AC39" s="56"/>
      <c r="AD39" s="94"/>
      <c r="AE39" s="105" t="s">
        <v>175</v>
      </c>
      <c r="AF39" s="106"/>
      <c r="AG39" s="106"/>
      <c r="AH39" s="106"/>
      <c r="AI39" s="106"/>
      <c r="AJ39" s="106"/>
      <c r="AK39" s="106"/>
      <c r="AL39" s="106"/>
      <c r="AM39" s="107" t="s">
        <v>172</v>
      </c>
      <c r="AN39" s="106"/>
      <c r="AO39" s="106"/>
      <c r="AP39" s="108" t="e">
        <f>(AP36/1000)*E20</f>
        <v>#DIV/0!</v>
      </c>
      <c r="AQ39" s="109" t="s">
        <v>176</v>
      </c>
      <c r="AR39" s="110"/>
    </row>
    <row r="40" spans="2:122" ht="15" thickBot="1">
      <c r="B40" s="623"/>
      <c r="C40" s="624"/>
      <c r="D40" s="624"/>
      <c r="E40" s="624"/>
      <c r="F40" s="624"/>
      <c r="G40" s="624"/>
      <c r="H40" s="624"/>
      <c r="I40" s="624"/>
      <c r="J40" s="624"/>
      <c r="K40" s="624"/>
      <c r="L40" s="624"/>
      <c r="M40" s="624"/>
      <c r="N40" s="624"/>
      <c r="O40" s="624"/>
      <c r="P40" s="624"/>
      <c r="Q40" s="624"/>
      <c r="R40" s="625"/>
      <c r="T40" s="21"/>
      <c r="U40" s="433" t="s">
        <v>163</v>
      </c>
      <c r="V40" s="118" t="s">
        <v>164</v>
      </c>
      <c r="W40" s="475" t="e">
        <f>W30*$E$20/(W33*60)</f>
        <v>#DIV/0!</v>
      </c>
      <c r="X40" s="429" t="s">
        <v>177</v>
      </c>
      <c r="Y40" s="290"/>
      <c r="Z40" s="117"/>
      <c r="AA40" s="475" t="e">
        <f>AA30*$E$20/(AA33*60)</f>
        <v>#DIV/0!</v>
      </c>
      <c r="AB40" s="429" t="s">
        <v>178</v>
      </c>
      <c r="AC40" s="429"/>
      <c r="AD40" s="291"/>
      <c r="AE40" s="3" t="s">
        <v>179</v>
      </c>
      <c r="AM40" s="3" t="s">
        <v>20</v>
      </c>
      <c r="AP40" s="441" t="e">
        <f>IF(ISERROR(AA38),5*(W38+AP36),5*(AVERAGE(W38,AA38)+AP36))</f>
        <v>#DIV/0!</v>
      </c>
      <c r="AQ40" s="111" t="s">
        <v>180</v>
      </c>
      <c r="AR40" s="14"/>
      <c r="DG40" s="1"/>
      <c r="DH40" s="1"/>
      <c r="DI40" s="1"/>
      <c r="DJ40" s="1"/>
      <c r="DK40" s="1"/>
      <c r="DL40" s="1"/>
      <c r="DM40" s="1"/>
      <c r="DN40" s="1"/>
      <c r="DO40" s="1"/>
      <c r="DP40" s="1"/>
      <c r="DQ40" s="1"/>
      <c r="DR40" s="1"/>
    </row>
    <row r="41" spans="2:122" ht="15" customHeight="1" thickBot="1" thickTop="1">
      <c r="B41" s="102"/>
      <c r="C41" s="103"/>
      <c r="D41" s="103"/>
      <c r="E41" s="103"/>
      <c r="F41" s="103"/>
      <c r="G41" s="103"/>
      <c r="H41" s="103"/>
      <c r="I41" s="103"/>
      <c r="J41" s="103"/>
      <c r="K41" s="103"/>
      <c r="L41" s="103"/>
      <c r="M41" s="103"/>
      <c r="N41" s="103"/>
      <c r="O41" s="103"/>
      <c r="P41" s="103"/>
      <c r="Q41" s="103"/>
      <c r="R41" s="104"/>
      <c r="T41" s="13"/>
      <c r="U41" s="13"/>
      <c r="V41" s="13"/>
      <c r="W41" s="13"/>
      <c r="X41" s="13"/>
      <c r="Y41" s="8"/>
      <c r="Z41" s="8"/>
      <c r="AA41" s="8"/>
      <c r="AB41" s="13"/>
      <c r="AC41" s="8"/>
      <c r="AD41" s="437"/>
      <c r="AE41" s="117" t="s">
        <v>181</v>
      </c>
      <c r="AF41" s="117"/>
      <c r="AG41" s="117"/>
      <c r="AH41" s="117"/>
      <c r="AI41" s="117"/>
      <c r="AJ41" s="117"/>
      <c r="AK41" s="117"/>
      <c r="AL41" s="117"/>
      <c r="AM41" s="117" t="s">
        <v>182</v>
      </c>
      <c r="AN41" s="117"/>
      <c r="AO41" s="117"/>
      <c r="AP41" s="292" t="e">
        <f>(AP40/1000)*E20</f>
        <v>#DIV/0!</v>
      </c>
      <c r="AQ41" s="118" t="s">
        <v>183</v>
      </c>
      <c r="AR41" s="119"/>
      <c r="DG41" s="1"/>
      <c r="DH41" s="1"/>
      <c r="DI41" s="1"/>
      <c r="DJ41" s="1"/>
      <c r="DK41" s="1"/>
      <c r="DL41" s="1"/>
      <c r="DM41" s="1"/>
      <c r="DN41" s="1"/>
      <c r="DO41" s="1"/>
      <c r="DP41" s="1"/>
      <c r="DQ41" s="1"/>
      <c r="DR41" s="1"/>
    </row>
    <row r="42" spans="2:122" ht="15" customHeight="1" thickBot="1" thickTop="1">
      <c r="B42" s="623"/>
      <c r="C42" s="624"/>
      <c r="D42" s="624"/>
      <c r="E42" s="624"/>
      <c r="F42" s="624"/>
      <c r="G42" s="624"/>
      <c r="H42" s="624"/>
      <c r="I42" s="624"/>
      <c r="J42" s="624"/>
      <c r="K42" s="624"/>
      <c r="L42" s="624"/>
      <c r="M42" s="624"/>
      <c r="N42" s="624"/>
      <c r="O42" s="624"/>
      <c r="P42" s="624"/>
      <c r="Q42" s="624"/>
      <c r="R42" s="625"/>
      <c r="U42" s="440" t="s">
        <v>967</v>
      </c>
      <c r="W42" s="111">
        <v>1</v>
      </c>
      <c r="DG42" s="1"/>
      <c r="DH42" s="1"/>
      <c r="DI42" s="1"/>
      <c r="DJ42" s="1"/>
      <c r="DK42" s="1"/>
      <c r="DL42" s="1"/>
      <c r="DM42" s="1"/>
      <c r="DN42" s="1"/>
      <c r="DO42" s="1"/>
      <c r="DP42" s="1"/>
      <c r="DQ42" s="1"/>
      <c r="DR42" s="1"/>
    </row>
    <row r="43" spans="2:122" ht="15" customHeight="1" thickTop="1">
      <c r="B43" s="623"/>
      <c r="C43" s="624"/>
      <c r="D43" s="624"/>
      <c r="E43" s="624"/>
      <c r="F43" s="624"/>
      <c r="G43" s="624"/>
      <c r="H43" s="624"/>
      <c r="I43" s="624"/>
      <c r="J43" s="624"/>
      <c r="K43" s="624"/>
      <c r="L43" s="624"/>
      <c r="M43" s="624"/>
      <c r="N43" s="624"/>
      <c r="O43" s="624"/>
      <c r="P43" s="624"/>
      <c r="Q43" s="624"/>
      <c r="R43" s="625"/>
      <c r="U43" s="321" t="s">
        <v>953</v>
      </c>
      <c r="V43" s="322"/>
      <c r="W43" s="323"/>
      <c r="X43" s="463"/>
      <c r="Y43" s="325"/>
      <c r="Z43" s="325"/>
      <c r="AA43" s="325"/>
      <c r="AB43" s="325"/>
      <c r="AC43" s="325"/>
      <c r="AD43" s="325"/>
      <c r="AE43" s="323" t="s">
        <v>88</v>
      </c>
      <c r="AF43" s="326" t="s">
        <v>867</v>
      </c>
      <c r="DG43" s="1"/>
      <c r="DH43" s="1"/>
      <c r="DI43" s="1"/>
      <c r="DJ43" s="1"/>
      <c r="DK43" s="1"/>
      <c r="DL43" s="1"/>
      <c r="DM43" s="1"/>
      <c r="DN43" s="1"/>
      <c r="DO43" s="1"/>
      <c r="DP43" s="1"/>
      <c r="DQ43" s="1"/>
      <c r="DR43" s="1"/>
    </row>
    <row r="44" spans="2:122" ht="15" customHeight="1">
      <c r="B44" s="623"/>
      <c r="C44" s="624"/>
      <c r="D44" s="624"/>
      <c r="E44" s="624"/>
      <c r="F44" s="624"/>
      <c r="G44" s="624"/>
      <c r="H44" s="624"/>
      <c r="I44" s="624"/>
      <c r="J44" s="624"/>
      <c r="K44" s="624"/>
      <c r="L44" s="624"/>
      <c r="M44" s="624"/>
      <c r="N44" s="624"/>
      <c r="O44" s="624"/>
      <c r="P44" s="624"/>
      <c r="Q44" s="624"/>
      <c r="R44" s="625"/>
      <c r="U44" s="327" t="s">
        <v>852</v>
      </c>
      <c r="V44" s="328"/>
      <c r="AB44" s="22" t="s">
        <v>113</v>
      </c>
      <c r="AE44" s="449" t="e">
        <f>IF(AA33=0,W35,(W35+AA35)/2)</f>
        <v>#DIV/0!</v>
      </c>
      <c r="AF44" s="476" t="e">
        <f>IF(AE44=0,"-",IF(AE44&lt;Lists!E15,"0",IF(AE44&lt;Lists!I15,1,IF(AE44&lt;Lists!K15,2,IF(AE44&lt;Lists!M15,3,4)))))</f>
        <v>#DIV/0!</v>
      </c>
      <c r="DG44" s="1"/>
      <c r="DH44" s="1"/>
      <c r="DI44" s="1"/>
      <c r="DJ44" s="1"/>
      <c r="DK44" s="1"/>
      <c r="DL44" s="1"/>
      <c r="DM44" s="1"/>
      <c r="DN44" s="1"/>
      <c r="DO44" s="1"/>
      <c r="DP44" s="1"/>
      <c r="DQ44" s="1"/>
      <c r="DR44" s="1"/>
    </row>
    <row r="45" spans="2:32" ht="15" customHeight="1">
      <c r="B45" s="623"/>
      <c r="C45" s="624"/>
      <c r="D45" s="624"/>
      <c r="E45" s="624"/>
      <c r="F45" s="624"/>
      <c r="G45" s="624"/>
      <c r="H45" s="624"/>
      <c r="I45" s="624"/>
      <c r="J45" s="624"/>
      <c r="K45" s="624"/>
      <c r="L45" s="624"/>
      <c r="M45" s="624"/>
      <c r="N45" s="624"/>
      <c r="O45" s="624"/>
      <c r="P45" s="624"/>
      <c r="Q45" s="624"/>
      <c r="R45" s="625"/>
      <c r="U45" s="327" t="s">
        <v>959</v>
      </c>
      <c r="V45" s="328"/>
      <c r="AB45" s="22" t="s">
        <v>960</v>
      </c>
      <c r="AE45" s="456" t="e">
        <f>AP30*'General Information'!L22/(AP32*AP33*1000)</f>
        <v>#DIV/0!</v>
      </c>
      <c r="AF45" s="477" t="e">
        <f>IF(AE45&gt;Lists!E16,"0",IF(AE45&gt;Lists!I16,1,IF(AE45&gt;Lists!K16,2,IF(AE45&gt;Lists!M16,3,4))))</f>
        <v>#DIV/0!</v>
      </c>
    </row>
    <row r="46" spans="2:32" ht="15" customHeight="1">
      <c r="B46" s="102"/>
      <c r="C46" s="103"/>
      <c r="D46" s="103"/>
      <c r="E46" s="103"/>
      <c r="F46" s="103"/>
      <c r="G46" s="103"/>
      <c r="H46" s="103"/>
      <c r="I46" s="103"/>
      <c r="J46" s="103"/>
      <c r="K46" s="103"/>
      <c r="L46" s="103"/>
      <c r="M46" s="103"/>
      <c r="N46" s="103"/>
      <c r="O46" s="103"/>
      <c r="P46" s="103"/>
      <c r="Q46" s="103"/>
      <c r="R46" s="104"/>
      <c r="U46" s="327" t="s">
        <v>855</v>
      </c>
      <c r="V46" s="328"/>
      <c r="AB46" s="22" t="s">
        <v>961</v>
      </c>
      <c r="AE46" s="455" t="e">
        <f>IF(W42=3,IF(AA33=0,1000000/'General Information'!L22*AA23/(W35*W30),1000000/'General Information'!L22*(AA23/(W35*W30)+AI23/(AA35*AA30))/2),IF(W42=1,IF(AA33=0,1000000/'General Information'!L22*W70/(W35*W30),1000000/'General Information'!L22*(W70/(W35*W30)+AA70/(AA35*AA30))/2),IF(AA33=0,1000000/'General Information'!L22*W74/(W35*W30),1000000/'General Information'!L22*(W74/(W35*W30)+AA74/(AA35*AA30))/2)))</f>
        <v>#DIV/0!</v>
      </c>
      <c r="AF46" s="477" t="e">
        <f>IF(AE46&gt;Lists!E17,"0",IF(AE46&gt;Lists!I17,1,IF(AE46&gt;Lists!K17,2,IF(AE46&gt;Lists!M17,3,4))))</f>
        <v>#DIV/0!</v>
      </c>
    </row>
    <row r="47" spans="2:32" ht="15" customHeight="1">
      <c r="B47" s="623"/>
      <c r="C47" s="624"/>
      <c r="D47" s="624"/>
      <c r="E47" s="624"/>
      <c r="F47" s="624"/>
      <c r="G47" s="624"/>
      <c r="H47" s="624"/>
      <c r="I47" s="624"/>
      <c r="J47" s="624"/>
      <c r="K47" s="624"/>
      <c r="L47" s="624"/>
      <c r="M47" s="624"/>
      <c r="N47" s="624"/>
      <c r="O47" s="624"/>
      <c r="P47" s="624"/>
      <c r="Q47" s="624"/>
      <c r="R47" s="625"/>
      <c r="U47" s="327" t="s">
        <v>857</v>
      </c>
      <c r="V47" s="328"/>
      <c r="AB47" s="22" t="s">
        <v>962</v>
      </c>
      <c r="AE47" s="456" t="e">
        <f>IF(W42=3,AP23/(AP33*AP32)*1000,IF(W42=1,AE70/(AP33*AP32)*1000,AE74/(AP33*AP32)*1000))</f>
        <v>#DIV/0!</v>
      </c>
      <c r="AF47" s="477" t="e">
        <f>IF(AE47&gt;Lists!E18,"0",IF(AE47&gt;Lists!I18,1,IF(AE47&gt;Lists!K18,2,IF(AE47&gt;Lists!M18,3,4))))</f>
        <v>#DIV/0!</v>
      </c>
    </row>
    <row r="48" spans="2:32" ht="15" customHeight="1">
      <c r="B48" s="627"/>
      <c r="C48" s="628"/>
      <c r="D48" s="628"/>
      <c r="E48" s="628"/>
      <c r="F48" s="628"/>
      <c r="G48" s="628"/>
      <c r="H48" s="628"/>
      <c r="I48" s="628"/>
      <c r="J48" s="628"/>
      <c r="K48" s="628"/>
      <c r="L48" s="628"/>
      <c r="M48" s="628"/>
      <c r="N48" s="628"/>
      <c r="O48" s="628"/>
      <c r="P48" s="628"/>
      <c r="Q48" s="628"/>
      <c r="R48" s="629"/>
      <c r="U48" s="327" t="s">
        <v>859</v>
      </c>
      <c r="V48" s="328"/>
      <c r="AB48" s="22" t="s">
        <v>963</v>
      </c>
      <c r="AE48" s="457" t="e">
        <f>IF(W42=3,IF(AA33=0,10^9/'General Information'!L22*AA24/(W35*W30),10^9/'General Information'!L22*(AA24/(W35*W30)+AI24/(AA35*AA30))/2),IF(W42=1,IF(AA33=0,10^9/'General Information'!L22*W71/(W35*W30),10^9/'General Information'!L22*(W71/(W35*W30)+AA71/(AA35*AA30))/2),IF(AA33=0,10^9/'General Information'!L22*W75/(W35*W30),10^9/'General Information'!L22*(W75/(W35*W30)+AA75/(AA35*AA30))/2)))</f>
        <v>#DIV/0!</v>
      </c>
      <c r="AF48" s="477" t="e">
        <f>IF(AE48&gt;Lists!E19,"0",IF(AE48&gt;Lists!I19,1,IF(AE48&gt;Lists!K19,2,IF(AE48&gt;Lists!M19,3,4))))</f>
        <v>#DIV/0!</v>
      </c>
    </row>
    <row r="49" spans="3:32" ht="15" customHeight="1">
      <c r="C49" s="1"/>
      <c r="H49" s="1"/>
      <c r="I49" s="1"/>
      <c r="J49" s="1"/>
      <c r="K49" s="1"/>
      <c r="L49" s="1"/>
      <c r="M49" s="1"/>
      <c r="N49" s="1"/>
      <c r="O49" s="1"/>
      <c r="P49" s="1"/>
      <c r="Q49" s="1"/>
      <c r="R49" s="1"/>
      <c r="U49" s="327" t="s">
        <v>861</v>
      </c>
      <c r="V49" s="328"/>
      <c r="AB49" s="22" t="s">
        <v>964</v>
      </c>
      <c r="AE49" s="450" t="e">
        <f>IF(W42=3,AP24/(AP33*AP32)*1000000,IF(W42=1,AE71/(AP33*AP32)*1000000,AE75/(AP33*AP32)*1000000))</f>
        <v>#DIV/0!</v>
      </c>
      <c r="AF49" s="477" t="e">
        <f>IF(AE49&gt;Lists!E20,"0",IF(AE49&gt;Lists!I20,1,IF(AE49&gt;Lists!K20,2,IF(AE49&gt;Lists!M20,3,4))))</f>
        <v>#DIV/0!</v>
      </c>
    </row>
    <row r="50" spans="2:32" ht="15" customHeight="1">
      <c r="B50" s="655" t="s">
        <v>802</v>
      </c>
      <c r="C50" s="656"/>
      <c r="D50" s="656"/>
      <c r="E50" s="656"/>
      <c r="F50" s="656"/>
      <c r="G50" s="656"/>
      <c r="H50" s="656"/>
      <c r="I50" s="656"/>
      <c r="J50" s="656"/>
      <c r="K50" s="656"/>
      <c r="L50" s="656"/>
      <c r="M50" s="656"/>
      <c r="N50" s="656"/>
      <c r="O50" s="656"/>
      <c r="P50" s="656"/>
      <c r="Q50" s="656"/>
      <c r="R50" s="657"/>
      <c r="U50" s="327" t="s">
        <v>880</v>
      </c>
      <c r="V50" s="328"/>
      <c r="AB50" s="22" t="s">
        <v>154</v>
      </c>
      <c r="AE50" s="450" t="e">
        <f>IF(W42=3,IF(IF(AA33=0,AA23/W33,(AA23/W33+AI23/AA33)/2)&lt;(AP23/AP33),AP23/AP33,IF(AA33=0,AA23/W33,(AA23/W33+AI23/AA33)/2)),IF(W42=1,IF(IF(AA33=0,W70/W33,(W70/W33+AA70/AA33)/2)&lt;(AE70/AP33),AE70/AP33,IF(AA33=0,W70/W33,(W70/W33+AA70/AA33)/2)),IF(IF(AA33=0,W74/W33,(W74/W33+AA74/AA33)/2)&lt;(AE74/AP33),AE74/AP33,IF(AA33=0,W74/W33,(W74/W33+AA74/AA33)/2))))</f>
        <v>#DIV/0!</v>
      </c>
      <c r="AF50" s="477" t="e">
        <f>IF(AE50&gt;Lists!E21,"0",IF(AE50&gt;Lists!I21,1,IF(AE50&gt;Lists!K21,2,IF(AE50&gt;Lists!M21,3,4))))</f>
        <v>#DIV/0!</v>
      </c>
    </row>
    <row r="51" spans="2:35" ht="15" customHeight="1" thickBot="1">
      <c r="B51" s="623"/>
      <c r="C51" s="624"/>
      <c r="D51" s="624"/>
      <c r="E51" s="624"/>
      <c r="F51" s="624"/>
      <c r="G51" s="624"/>
      <c r="H51" s="624"/>
      <c r="I51" s="624"/>
      <c r="J51" s="624"/>
      <c r="K51" s="624"/>
      <c r="L51" s="624"/>
      <c r="M51" s="624"/>
      <c r="N51" s="624"/>
      <c r="O51" s="624"/>
      <c r="P51" s="624"/>
      <c r="Q51" s="624"/>
      <c r="R51" s="625"/>
      <c r="U51" s="329" t="s">
        <v>879</v>
      </c>
      <c r="V51" s="330"/>
      <c r="W51" s="307"/>
      <c r="X51" s="307"/>
      <c r="Y51" s="307"/>
      <c r="Z51" s="307"/>
      <c r="AA51" s="307"/>
      <c r="AB51" s="308" t="s">
        <v>865</v>
      </c>
      <c r="AC51" s="307"/>
      <c r="AD51" s="307"/>
      <c r="AE51" s="458" t="e">
        <f>IF(W42=3,IF(IF(AA33=0,AA24/W33,(AA24/W33+AI24/AA33)/2)&lt;(AP24/AP33),AP24/AP33*1000,IF(AA33=0,AA24/W33,(AA24/W33+AI24/AA33)/2)*1000),IF(W42=1,IF(IF(AA33=0,W71/W33,(W71/W33+AA71/AA33)/2)&lt;(AE71/AP33),AE71/AP33*1000,IF(AA33=0,W71/W33,(W71/W33+AA71/AA33)/2)*1000),IF(IF(AA33=0,W75/W33,(W75/W33+AA75/AA33)/2)&lt;(AE75/AP33),AE75/AP33*1000,IF(AA33=0,W75/W33,(W75/W33+AA75/AA33)/2)*1000)))</f>
        <v>#DIV/0!</v>
      </c>
      <c r="AF51" s="478" t="e">
        <f>IF(AE51&gt;Lists!E22,"0",IF(AE51&gt;Lists!I22,1,IF(AE51&gt;Lists!K22,2,IF(AE51&gt;Lists!M22,3,4))))</f>
        <v>#DIV/0!</v>
      </c>
      <c r="AI51" s="13"/>
    </row>
    <row r="52" spans="2:35" ht="15" customHeight="1" thickBot="1" thickTop="1">
      <c r="B52" s="102"/>
      <c r="C52" s="103"/>
      <c r="D52" s="103"/>
      <c r="E52" s="103"/>
      <c r="F52" s="103"/>
      <c r="G52" s="103"/>
      <c r="H52" s="103"/>
      <c r="I52" s="103"/>
      <c r="J52" s="103"/>
      <c r="K52" s="103"/>
      <c r="L52" s="103"/>
      <c r="M52" s="103"/>
      <c r="N52" s="103"/>
      <c r="O52" s="103"/>
      <c r="P52" s="103"/>
      <c r="Q52" s="103"/>
      <c r="R52" s="104"/>
      <c r="U52" s="121" t="str">
        <f>"TEST #7 "&amp;D7</f>
        <v>TEST #7 </v>
      </c>
      <c r="V52" s="86" t="s">
        <v>804</v>
      </c>
      <c r="AI52" s="13"/>
    </row>
    <row r="53" spans="2:35" ht="15" customHeight="1" thickTop="1">
      <c r="B53" s="623"/>
      <c r="C53" s="624"/>
      <c r="D53" s="624"/>
      <c r="E53" s="624"/>
      <c r="F53" s="624"/>
      <c r="G53" s="624"/>
      <c r="H53" s="624"/>
      <c r="I53" s="624"/>
      <c r="J53" s="624"/>
      <c r="K53" s="624"/>
      <c r="L53" s="624"/>
      <c r="M53" s="624"/>
      <c r="N53" s="624"/>
      <c r="O53" s="624"/>
      <c r="P53" s="624"/>
      <c r="Q53" s="624"/>
      <c r="R53" s="625"/>
      <c r="T53" s="7"/>
      <c r="U53" s="8"/>
      <c r="V53" s="8"/>
      <c r="W53" s="298" t="s">
        <v>110</v>
      </c>
      <c r="X53" s="8"/>
      <c r="Y53" s="299"/>
      <c r="Z53" s="8"/>
      <c r="AA53" s="298" t="s">
        <v>111</v>
      </c>
      <c r="AB53" s="8"/>
      <c r="AC53" s="299"/>
      <c r="AD53" s="8"/>
      <c r="AE53" s="298" t="s">
        <v>2</v>
      </c>
      <c r="AF53" s="8"/>
      <c r="AG53" s="149"/>
      <c r="AH53" s="149"/>
      <c r="AI53" s="309"/>
    </row>
    <row r="54" spans="2:35" ht="15" customHeight="1">
      <c r="B54" s="623"/>
      <c r="C54" s="624"/>
      <c r="D54" s="624"/>
      <c r="E54" s="624"/>
      <c r="F54" s="624"/>
      <c r="G54" s="624"/>
      <c r="H54" s="624"/>
      <c r="I54" s="624"/>
      <c r="J54" s="624"/>
      <c r="K54" s="624"/>
      <c r="L54" s="624"/>
      <c r="M54" s="624"/>
      <c r="N54" s="624"/>
      <c r="O54" s="624"/>
      <c r="P54" s="624"/>
      <c r="Q54" s="624"/>
      <c r="R54" s="625"/>
      <c r="T54" s="10"/>
      <c r="U54" s="88" t="s">
        <v>116</v>
      </c>
      <c r="V54" s="89" t="s">
        <v>9</v>
      </c>
      <c r="W54" s="89" t="s">
        <v>10</v>
      </c>
      <c r="X54" s="89" t="s">
        <v>11</v>
      </c>
      <c r="Y54" s="46"/>
      <c r="Z54" s="13"/>
      <c r="AA54" s="89" t="s">
        <v>10</v>
      </c>
      <c r="AB54" s="89" t="s">
        <v>11</v>
      </c>
      <c r="AC54" s="46"/>
      <c r="AD54" s="13"/>
      <c r="AE54" s="89" t="s">
        <v>10</v>
      </c>
      <c r="AF54" s="89" t="s">
        <v>11</v>
      </c>
      <c r="AG54" s="71"/>
      <c r="AH54" s="71"/>
      <c r="AI54" s="309"/>
    </row>
    <row r="55" spans="2:35" ht="15" customHeight="1">
      <c r="B55" s="623"/>
      <c r="C55" s="624"/>
      <c r="D55" s="624"/>
      <c r="E55" s="624"/>
      <c r="F55" s="624"/>
      <c r="G55" s="624"/>
      <c r="H55" s="624"/>
      <c r="I55" s="624"/>
      <c r="J55" s="624"/>
      <c r="K55" s="624"/>
      <c r="L55" s="624"/>
      <c r="M55" s="624"/>
      <c r="N55" s="624"/>
      <c r="O55" s="624"/>
      <c r="P55" s="624"/>
      <c r="Q55" s="624"/>
      <c r="R55" s="625"/>
      <c r="T55" s="10"/>
      <c r="U55" s="91" t="s">
        <v>805</v>
      </c>
      <c r="V55" s="92" t="s">
        <v>806</v>
      </c>
      <c r="W55" s="480">
        <f>'General Information'!$C$24*W33/60</f>
        <v>0</v>
      </c>
      <c r="X55" s="391" t="s">
        <v>885</v>
      </c>
      <c r="Y55" s="57"/>
      <c r="Z55" s="61"/>
      <c r="AA55" s="479">
        <f>'General Information'!$C$24*AA33/60</f>
        <v>0</v>
      </c>
      <c r="AB55" s="392" t="s">
        <v>886</v>
      </c>
      <c r="AC55" s="46"/>
      <c r="AD55" s="13"/>
      <c r="AE55" s="479">
        <f>'General Information'!$C$24*AP33/60</f>
        <v>0</v>
      </c>
      <c r="AF55" s="392" t="s">
        <v>887</v>
      </c>
      <c r="AG55" s="71"/>
      <c r="AH55" s="71"/>
      <c r="AI55" s="309"/>
    </row>
    <row r="56" spans="2:35" ht="15" customHeight="1">
      <c r="B56" s="623"/>
      <c r="C56" s="624"/>
      <c r="D56" s="624"/>
      <c r="E56" s="624"/>
      <c r="F56" s="624"/>
      <c r="G56" s="624"/>
      <c r="H56" s="624"/>
      <c r="I56" s="624"/>
      <c r="J56" s="624"/>
      <c r="K56" s="624"/>
      <c r="L56" s="624"/>
      <c r="M56" s="624"/>
      <c r="N56" s="624"/>
      <c r="O56" s="624"/>
      <c r="P56" s="624"/>
      <c r="Q56" s="624"/>
      <c r="R56" s="625"/>
      <c r="T56" s="10"/>
      <c r="U56" s="91" t="s">
        <v>814</v>
      </c>
      <c r="V56" s="92" t="s">
        <v>781</v>
      </c>
      <c r="W56" s="474" t="e">
        <f>((AA18-$N21)+(AA19-$N22)+(AA20-$N23)/15/('General Information'!$C$22/0.008314/(AA21+273.15)))</f>
        <v>#DIV/0!</v>
      </c>
      <c r="X56" s="391" t="s">
        <v>888</v>
      </c>
      <c r="Y56" s="57"/>
      <c r="Z56" s="61"/>
      <c r="AA56" s="482" t="e">
        <f>((AI18-$N21)+(AI19-$N22)+(AI20-$N23)/15/('General Information'!$C$22/0.008314/(AI21+273.15)))</f>
        <v>#DIV/0!</v>
      </c>
      <c r="AB56" s="392" t="s">
        <v>889</v>
      </c>
      <c r="AC56" s="57"/>
      <c r="AD56" s="13"/>
      <c r="AE56" s="482" t="e">
        <f>((AP18-$N21)+(AP19-$N22)+(AP20-$N23)/15/('General Information'!$C$22/0.008314/(AP21+273.15)))</f>
        <v>#DIV/0!</v>
      </c>
      <c r="AF56" s="392" t="s">
        <v>890</v>
      </c>
      <c r="AG56" s="71"/>
      <c r="AH56" s="71"/>
      <c r="AI56" s="309"/>
    </row>
    <row r="57" spans="2:35" ht="15" customHeight="1">
      <c r="B57" s="102"/>
      <c r="C57" s="103"/>
      <c r="D57" s="103"/>
      <c r="E57" s="103"/>
      <c r="F57" s="103"/>
      <c r="G57" s="103"/>
      <c r="H57" s="103"/>
      <c r="I57" s="103"/>
      <c r="J57" s="103"/>
      <c r="K57" s="103"/>
      <c r="L57" s="103"/>
      <c r="M57" s="103"/>
      <c r="N57" s="103"/>
      <c r="O57" s="103"/>
      <c r="P57" s="103"/>
      <c r="Q57" s="103"/>
      <c r="R57" s="104"/>
      <c r="T57" s="10"/>
      <c r="U57" s="91" t="s">
        <v>807</v>
      </c>
      <c r="V57" s="92" t="s">
        <v>808</v>
      </c>
      <c r="W57" s="448" t="e">
        <f>'General Information'!$C$22/0.008314/(AA21+273.15)*W56*0.000001*12</f>
        <v>#DIV/0!</v>
      </c>
      <c r="X57" s="391" t="s">
        <v>891</v>
      </c>
      <c r="Y57" s="57"/>
      <c r="Z57" s="61"/>
      <c r="AA57" s="445" t="e">
        <f>'General Information'!$C$22/0.008314/(AI21+273.15)*AA56*0.000001*12</f>
        <v>#DIV/0!</v>
      </c>
      <c r="AB57" s="392" t="s">
        <v>892</v>
      </c>
      <c r="AC57" s="57"/>
      <c r="AD57" s="13"/>
      <c r="AE57" s="445" t="e">
        <f>'General Information'!$C$22/0.008314/(AP21+273.15)*AE56*0.000001*12</f>
        <v>#DIV/0!</v>
      </c>
      <c r="AF57" s="392" t="s">
        <v>893</v>
      </c>
      <c r="AG57" s="71"/>
      <c r="AH57" s="71"/>
      <c r="AI57" s="309"/>
    </row>
    <row r="58" spans="2:35" ht="15" customHeight="1">
      <c r="B58" s="623"/>
      <c r="C58" s="624"/>
      <c r="D58" s="624"/>
      <c r="E58" s="624"/>
      <c r="F58" s="624"/>
      <c r="G58" s="624"/>
      <c r="H58" s="624"/>
      <c r="I58" s="624"/>
      <c r="J58" s="624"/>
      <c r="K58" s="624"/>
      <c r="L58" s="624"/>
      <c r="M58" s="624"/>
      <c r="N58" s="624"/>
      <c r="O58" s="624"/>
      <c r="P58" s="624"/>
      <c r="Q58" s="624"/>
      <c r="R58" s="625"/>
      <c r="T58" s="10"/>
      <c r="U58" s="91" t="s">
        <v>878</v>
      </c>
      <c r="V58" s="92" t="s">
        <v>20</v>
      </c>
      <c r="W58" s="93" t="e">
        <f>W57*W55/fuelFracC</f>
        <v>#DIV/0!</v>
      </c>
      <c r="X58" s="392" t="s">
        <v>894</v>
      </c>
      <c r="Y58" s="57"/>
      <c r="Z58" s="61"/>
      <c r="AA58" s="445" t="e">
        <f>AA57*AA55/fuelFracC</f>
        <v>#DIV/0!</v>
      </c>
      <c r="AB58" s="392" t="s">
        <v>895</v>
      </c>
      <c r="AC58" s="57"/>
      <c r="AD58" s="13"/>
      <c r="AE58" s="445" t="e">
        <f>AE57*AE55/fuelFracC</f>
        <v>#DIV/0!</v>
      </c>
      <c r="AF58" s="392" t="s">
        <v>896</v>
      </c>
      <c r="AG58" s="13"/>
      <c r="AH58" s="13"/>
      <c r="AI58" s="309"/>
    </row>
    <row r="59" spans="2:35" ht="15" customHeight="1">
      <c r="B59" s="627"/>
      <c r="C59" s="628"/>
      <c r="D59" s="628"/>
      <c r="E59" s="628"/>
      <c r="F59" s="628"/>
      <c r="G59" s="628"/>
      <c r="H59" s="628"/>
      <c r="I59" s="628"/>
      <c r="J59" s="628"/>
      <c r="K59" s="628"/>
      <c r="L59" s="628"/>
      <c r="M59" s="628"/>
      <c r="N59" s="628"/>
      <c r="O59" s="628"/>
      <c r="P59" s="628"/>
      <c r="Q59" s="628"/>
      <c r="R59" s="629"/>
      <c r="T59" s="10"/>
      <c r="U59" s="13" t="s">
        <v>824</v>
      </c>
      <c r="V59" s="22" t="s">
        <v>113</v>
      </c>
      <c r="W59" s="484" t="e">
        <f>W58/((1-$E$18)*(W28)-W29*charFracC/'General Information'!L23)</f>
        <v>#DIV/0!</v>
      </c>
      <c r="X59" s="392" t="s">
        <v>897</v>
      </c>
      <c r="Y59" s="374"/>
      <c r="Z59" s="375"/>
      <c r="AA59" s="483" t="e">
        <f>AA58/((1-$E$18)*(AA28)-AA29*charFracC/'General Information'!L23)</f>
        <v>#DIV/0!</v>
      </c>
      <c r="AB59" s="392" t="s">
        <v>898</v>
      </c>
      <c r="AC59" s="374"/>
      <c r="AD59" s="376"/>
      <c r="AE59" s="483" t="e">
        <f>AE58/((1-$E$18)*(AP28)-AP29*charFracC/'General Information'!L23)</f>
        <v>#DIV/0!</v>
      </c>
      <c r="AF59" s="392" t="s">
        <v>899</v>
      </c>
      <c r="AG59" s="13"/>
      <c r="AH59" s="13"/>
      <c r="AI59" s="309"/>
    </row>
    <row r="60" spans="20:35" ht="15" customHeight="1">
      <c r="T60" s="10"/>
      <c r="U60" s="300" t="s">
        <v>813</v>
      </c>
      <c r="V60" s="13"/>
      <c r="W60" s="350"/>
      <c r="X60" s="56"/>
      <c r="Y60" s="57"/>
      <c r="Z60" s="61"/>
      <c r="AA60" s="2"/>
      <c r="AB60" s="22"/>
      <c r="AC60" s="57"/>
      <c r="AD60" s="13"/>
      <c r="AE60" s="350"/>
      <c r="AF60" s="22"/>
      <c r="AG60" s="22"/>
      <c r="AH60" s="13"/>
      <c r="AI60" s="309"/>
    </row>
    <row r="61" spans="2:35" ht="15" customHeight="1">
      <c r="B61" s="655" t="s">
        <v>803</v>
      </c>
      <c r="C61" s="656"/>
      <c r="D61" s="656"/>
      <c r="E61" s="656"/>
      <c r="F61" s="656"/>
      <c r="G61" s="656"/>
      <c r="H61" s="656"/>
      <c r="I61" s="656"/>
      <c r="J61" s="656"/>
      <c r="K61" s="656"/>
      <c r="L61" s="656"/>
      <c r="M61" s="656"/>
      <c r="N61" s="656"/>
      <c r="O61" s="656"/>
      <c r="P61" s="656"/>
      <c r="Q61" s="656"/>
      <c r="R61" s="657"/>
      <c r="T61" s="10"/>
      <c r="U61" s="13" t="s">
        <v>812</v>
      </c>
      <c r="V61" s="22" t="s">
        <v>159</v>
      </c>
      <c r="W61" s="485" t="e">
        <f>IF($W$42=3,AA22/W$32*1000,IF($W$42=1,W69/W$32*1000,W73/W$32*1000))</f>
        <v>#DIV/0!</v>
      </c>
      <c r="X61" s="398" t="s">
        <v>920</v>
      </c>
      <c r="Y61" s="369"/>
      <c r="Z61" s="370"/>
      <c r="AA61" s="485" t="e">
        <f>IF($W$42=3,AI22/AA$32*1000,IF($W$42=1,AA69/AA$32*1000,AA73/AA$32*1000))</f>
        <v>#DIV/0!</v>
      </c>
      <c r="AB61" s="398" t="s">
        <v>921</v>
      </c>
      <c r="AC61" s="369"/>
      <c r="AD61" s="399"/>
      <c r="AE61" s="485" t="e">
        <f>IF($W$42=3,AP22/AP$32*1000,IF($W$42=1,AE69/AP$32*1000,AE73/AP$32*1000))</f>
        <v>#DIV/0!</v>
      </c>
      <c r="AF61" s="392" t="s">
        <v>922</v>
      </c>
      <c r="AG61" s="22"/>
      <c r="AH61" s="13"/>
      <c r="AI61" s="309"/>
    </row>
    <row r="62" spans="2:35" ht="15" customHeight="1">
      <c r="B62" s="623"/>
      <c r="C62" s="624"/>
      <c r="D62" s="624"/>
      <c r="E62" s="624"/>
      <c r="F62" s="624"/>
      <c r="G62" s="624"/>
      <c r="H62" s="624"/>
      <c r="I62" s="624"/>
      <c r="J62" s="624"/>
      <c r="K62" s="624"/>
      <c r="L62" s="624"/>
      <c r="M62" s="624"/>
      <c r="N62" s="624"/>
      <c r="O62" s="624"/>
      <c r="P62" s="624"/>
      <c r="Q62" s="624"/>
      <c r="R62" s="625"/>
      <c r="T62" s="10"/>
      <c r="U62" s="13" t="s">
        <v>810</v>
      </c>
      <c r="V62" s="22" t="s">
        <v>159</v>
      </c>
      <c r="W62" s="459" t="e">
        <f>IF($W$42=3,AA23/W$32*1000,IF($W$42=1,W70/W$32*1000,W74/W$32*1000))</f>
        <v>#DIV/0!</v>
      </c>
      <c r="X62" s="400" t="s">
        <v>923</v>
      </c>
      <c r="Y62" s="377"/>
      <c r="Z62" s="378"/>
      <c r="AA62" s="459" t="e">
        <f>IF($W$42=3,AI23/AA$32*1000,IF($W$42=1,AA70/AA$32*1000,AA74/AA$32*1000))</f>
        <v>#DIV/0!</v>
      </c>
      <c r="AB62" s="400" t="s">
        <v>924</v>
      </c>
      <c r="AC62" s="377"/>
      <c r="AD62" s="54"/>
      <c r="AE62" s="459" t="e">
        <f>IF($W$42=3,AP23/AP$32*1000,IF($W$42=1,AE70/AP$32*1000,AE74/AP$32*1000))</f>
        <v>#DIV/0!</v>
      </c>
      <c r="AF62" s="392" t="s">
        <v>925</v>
      </c>
      <c r="AG62" s="22"/>
      <c r="AH62" s="13"/>
      <c r="AI62" s="309"/>
    </row>
    <row r="63" spans="2:35" ht="15" customHeight="1">
      <c r="B63" s="102"/>
      <c r="C63" s="103"/>
      <c r="D63" s="103"/>
      <c r="E63" s="103"/>
      <c r="F63" s="103"/>
      <c r="G63" s="103"/>
      <c r="H63" s="103"/>
      <c r="I63" s="103"/>
      <c r="J63" s="103"/>
      <c r="K63" s="103"/>
      <c r="L63" s="103"/>
      <c r="M63" s="103"/>
      <c r="N63" s="103"/>
      <c r="O63" s="103"/>
      <c r="P63" s="103"/>
      <c r="Q63" s="103"/>
      <c r="R63" s="104"/>
      <c r="T63" s="10"/>
      <c r="U63" s="13" t="s">
        <v>811</v>
      </c>
      <c r="V63" s="22" t="s">
        <v>159</v>
      </c>
      <c r="W63" s="460" t="e">
        <f>IF($W$42=3,AA24/W$32*1000,IF($W$42=1,W71/W$32*1000,W75/W$32*1000))</f>
        <v>#DIV/0!</v>
      </c>
      <c r="X63" s="401" t="s">
        <v>926</v>
      </c>
      <c r="Y63" s="348"/>
      <c r="Z63" s="349"/>
      <c r="AA63" s="460" t="e">
        <f>IF($W$42=3,AI24/AA$32*1000,IF($W$42=1,AA71/AA$32*1000,AA75/AA$32*1000))</f>
        <v>#DIV/0!</v>
      </c>
      <c r="AB63" s="401" t="s">
        <v>927</v>
      </c>
      <c r="AC63" s="348"/>
      <c r="AD63" s="347"/>
      <c r="AE63" s="460" t="e">
        <f>IF($W$42=3,AP24/AP$32*1000,IF($W$42=1,AE71/AP$32*1000,AE75/AP$32*1000))</f>
        <v>#DIV/0!</v>
      </c>
      <c r="AF63" s="392" t="s">
        <v>928</v>
      </c>
      <c r="AG63" s="22"/>
      <c r="AH63" s="13"/>
      <c r="AI63" s="309"/>
    </row>
    <row r="64" spans="2:35" ht="15" customHeight="1">
      <c r="B64" s="623"/>
      <c r="C64" s="624"/>
      <c r="D64" s="624"/>
      <c r="E64" s="624"/>
      <c r="F64" s="624"/>
      <c r="G64" s="624"/>
      <c r="H64" s="624"/>
      <c r="I64" s="624"/>
      <c r="J64" s="624"/>
      <c r="K64" s="624"/>
      <c r="L64" s="624"/>
      <c r="M64" s="624"/>
      <c r="N64" s="624"/>
      <c r="O64" s="624"/>
      <c r="P64" s="624"/>
      <c r="Q64" s="624"/>
      <c r="R64" s="625"/>
      <c r="T64" s="10"/>
      <c r="U64" s="300" t="s">
        <v>809</v>
      </c>
      <c r="V64" s="13"/>
      <c r="W64" s="2"/>
      <c r="X64" s="22"/>
      <c r="Y64" s="57"/>
      <c r="Z64" s="61"/>
      <c r="AA64" s="350"/>
      <c r="AB64" s="22"/>
      <c r="AC64" s="57"/>
      <c r="AD64" s="13"/>
      <c r="AE64" s="350"/>
      <c r="AF64" s="22"/>
      <c r="AG64" s="13"/>
      <c r="AH64" s="13"/>
      <c r="AI64" s="309"/>
    </row>
    <row r="65" spans="2:35" ht="15" customHeight="1">
      <c r="B65" s="623"/>
      <c r="C65" s="624"/>
      <c r="D65" s="624"/>
      <c r="E65" s="624"/>
      <c r="F65" s="624"/>
      <c r="G65" s="624"/>
      <c r="H65" s="624"/>
      <c r="I65" s="624"/>
      <c r="J65" s="624"/>
      <c r="K65" s="624"/>
      <c r="L65" s="624"/>
      <c r="M65" s="624"/>
      <c r="N65" s="624"/>
      <c r="O65" s="624"/>
      <c r="P65" s="624"/>
      <c r="Q65" s="624"/>
      <c r="R65" s="625"/>
      <c r="T65" s="10"/>
      <c r="U65" s="13" t="s">
        <v>812</v>
      </c>
      <c r="V65" s="22" t="s">
        <v>821</v>
      </c>
      <c r="W65" s="93" t="e">
        <f>IF(W42=2,W73/(W28*(1-E18)-W29*charFracC/fuelFracC),IF(W56&gt;0,((AA18-$N21)*44/12)/(W$56/fuelFracC)*1000,0))</f>
        <v>#DIV/0!</v>
      </c>
      <c r="X65" s="392" t="s">
        <v>903</v>
      </c>
      <c r="Y65" s="57"/>
      <c r="Z65" s="61"/>
      <c r="AA65" s="85" t="e">
        <f>IF(W42=2,AA73/(AA28*(1-E18)-AA29*charFracC/fuelFracC),IF(AA56&gt;0,((AI18-$N21)*44/12)/(AA$56/fuelFracC)*1000,0))</f>
        <v>#DIV/0!</v>
      </c>
      <c r="AB65" s="392" t="s">
        <v>904</v>
      </c>
      <c r="AC65" s="57"/>
      <c r="AD65" s="13"/>
      <c r="AE65" s="85" t="e">
        <f>IF(W42=2,AE73/(AP28*(1-E18)-AP29*charFracC/fuelFracC),IF(AE56&gt;0,((AP18-$N21)*44/12)/(AE$56/fuelFracC)*1000,0))</f>
        <v>#DIV/0!</v>
      </c>
      <c r="AF65" s="392" t="s">
        <v>905</v>
      </c>
      <c r="AG65" s="13"/>
      <c r="AH65" s="13"/>
      <c r="AI65" s="309"/>
    </row>
    <row r="66" spans="2:38" ht="15" customHeight="1">
      <c r="B66" s="623"/>
      <c r="C66" s="624"/>
      <c r="D66" s="624"/>
      <c r="E66" s="624"/>
      <c r="F66" s="624"/>
      <c r="G66" s="624"/>
      <c r="H66" s="624"/>
      <c r="I66" s="624"/>
      <c r="J66" s="624"/>
      <c r="K66" s="624"/>
      <c r="L66" s="624"/>
      <c r="M66" s="624"/>
      <c r="N66" s="624"/>
      <c r="O66" s="624"/>
      <c r="P66" s="624"/>
      <c r="Q66" s="624"/>
      <c r="R66" s="625"/>
      <c r="T66" s="10"/>
      <c r="U66" s="13" t="s">
        <v>810</v>
      </c>
      <c r="V66" s="22" t="s">
        <v>821</v>
      </c>
      <c r="W66" s="459" t="e">
        <f>IF(W42=2,W74/(W28*(1-E18)-W29*charFracC/fuelFracC),IF(W56&gt;0,((AA19-$N22)*28/12)/(W$56/fuelFracC)*1000,0))</f>
        <v>#DIV/0!</v>
      </c>
      <c r="X66" s="392" t="s">
        <v>900</v>
      </c>
      <c r="Y66" s="365"/>
      <c r="Z66" s="366"/>
      <c r="AA66" s="459" t="e">
        <f>IF(W42=2,AA74/(AA28*(1-E18)-AA29*charFracC/fuelFracC),IF(AA56&gt;0,((AI19-$N22)*28/12)/(AA$56/fuelFracC)*1000,0))</f>
        <v>#DIV/0!</v>
      </c>
      <c r="AB66" s="392" t="s">
        <v>901</v>
      </c>
      <c r="AC66" s="365"/>
      <c r="AD66" s="364"/>
      <c r="AE66" s="459" t="e">
        <f>IF(W42=2,AE74/(AP28*(1-E18)-AP29*charFracC/fuelFracC),IF(AE56&gt;0,((AP19-$N22)*28/12)/(AE$56/fuelFracC)*1000,0))</f>
        <v>#DIV/0!</v>
      </c>
      <c r="AF66" s="392" t="s">
        <v>902</v>
      </c>
      <c r="AG66" s="13"/>
      <c r="AH66" s="13"/>
      <c r="AI66" s="309"/>
      <c r="AL66" s="447"/>
    </row>
    <row r="67" spans="2:35" ht="15" customHeight="1">
      <c r="B67" s="623"/>
      <c r="C67" s="624"/>
      <c r="D67" s="624"/>
      <c r="E67" s="624"/>
      <c r="F67" s="624"/>
      <c r="G67" s="624"/>
      <c r="H67" s="624"/>
      <c r="I67" s="624"/>
      <c r="J67" s="624"/>
      <c r="K67" s="624"/>
      <c r="L67" s="624"/>
      <c r="M67" s="624"/>
      <c r="N67" s="624"/>
      <c r="O67" s="624"/>
      <c r="P67" s="624"/>
      <c r="Q67" s="624"/>
      <c r="R67" s="625"/>
      <c r="T67" s="10"/>
      <c r="U67" s="13" t="s">
        <v>811</v>
      </c>
      <c r="V67" s="22" t="s">
        <v>821</v>
      </c>
      <c r="W67" s="461" t="e">
        <f>IF(W42=2,W75/(W28*(1-E18)-W29*charFracC/fuelFracC),IF(W57&gt;0,(AA20-$N23)/(W$57/fuelFracC)*1000/1000000,0))</f>
        <v>#DIV/0!</v>
      </c>
      <c r="X67" s="392" t="s">
        <v>906</v>
      </c>
      <c r="Y67" s="348"/>
      <c r="Z67" s="349"/>
      <c r="AA67" s="460" t="e">
        <f>IF(W42=2,AA75/(AA28*(1-E18)-AA29*charFracC/fuelFracC),IF(AA57&gt;0,(AI20-$N23)/(AA$57/fuelFracC)*1000/1000000,0))</f>
        <v>#DIV/0!</v>
      </c>
      <c r="AB67" s="392" t="s">
        <v>907</v>
      </c>
      <c r="AC67" s="348"/>
      <c r="AD67" s="347"/>
      <c r="AE67" s="460" t="e">
        <f>IF(W42=2,AE75/(AP28*(1-E18)-AP29*charFracC/fuelFracC),IF(AE57&gt;0,(AP20-$N23)/(AE$57/fuelFracC)*1000/1000000,0))</f>
        <v>#DIV/0!</v>
      </c>
      <c r="AF67" s="392" t="s">
        <v>908</v>
      </c>
      <c r="AG67" s="13"/>
      <c r="AH67" s="13"/>
      <c r="AI67" s="309"/>
    </row>
    <row r="68" spans="2:35" ht="15" customHeight="1">
      <c r="B68" s="102"/>
      <c r="C68" s="103"/>
      <c r="D68" s="103"/>
      <c r="E68" s="103"/>
      <c r="F68" s="103"/>
      <c r="G68" s="103"/>
      <c r="H68" s="103"/>
      <c r="I68" s="103"/>
      <c r="J68" s="103"/>
      <c r="K68" s="103"/>
      <c r="L68" s="103"/>
      <c r="M68" s="103"/>
      <c r="N68" s="103"/>
      <c r="O68" s="103"/>
      <c r="P68" s="103"/>
      <c r="Q68" s="103"/>
      <c r="R68" s="104"/>
      <c r="T68" s="10"/>
      <c r="U68" s="300" t="s">
        <v>948</v>
      </c>
      <c r="V68" s="13"/>
      <c r="W68" s="2"/>
      <c r="X68" s="22"/>
      <c r="Y68" s="57"/>
      <c r="Z68" s="61"/>
      <c r="AA68" s="350"/>
      <c r="AB68" s="22"/>
      <c r="AC68" s="57"/>
      <c r="AD68" s="13"/>
      <c r="AE68" s="350"/>
      <c r="AF68" s="22"/>
      <c r="AG68" s="13"/>
      <c r="AH68" s="13"/>
      <c r="AI68" s="309"/>
    </row>
    <row r="69" spans="2:35" ht="15" customHeight="1">
      <c r="B69" s="623"/>
      <c r="C69" s="624"/>
      <c r="D69" s="624"/>
      <c r="E69" s="624"/>
      <c r="F69" s="624"/>
      <c r="G69" s="624"/>
      <c r="H69" s="624"/>
      <c r="I69" s="624"/>
      <c r="J69" s="624"/>
      <c r="K69" s="624"/>
      <c r="L69" s="624"/>
      <c r="M69" s="624"/>
      <c r="N69" s="624"/>
      <c r="O69" s="624"/>
      <c r="P69" s="624"/>
      <c r="Q69" s="624"/>
      <c r="R69" s="625"/>
      <c r="T69" s="10"/>
      <c r="U69" s="13" t="s">
        <v>812</v>
      </c>
      <c r="V69" s="22" t="s">
        <v>20</v>
      </c>
      <c r="W69" s="93" t="e">
        <f>W65*(W28*(1-$E$18)-W29*charFracC/fuelFracC)/1000</f>
        <v>#DIV/0!</v>
      </c>
      <c r="X69" s="402" t="s">
        <v>915</v>
      </c>
      <c r="Y69" s="403"/>
      <c r="Z69" s="404"/>
      <c r="AA69" s="85" t="e">
        <f>AA65*(AA28*(1-$E$18)-AA29*charFracC/fuelFracC)/1000</f>
        <v>#DIV/0!</v>
      </c>
      <c r="AB69" s="402" t="s">
        <v>916</v>
      </c>
      <c r="AC69" s="403"/>
      <c r="AD69" s="405"/>
      <c r="AE69" s="85" t="e">
        <f>AE65*(AP28*(1-$E$18)-AP29*charFracC/fuelFracC)/1000</f>
        <v>#DIV/0!</v>
      </c>
      <c r="AF69" s="392" t="s">
        <v>917</v>
      </c>
      <c r="AG69" s="13"/>
      <c r="AH69" s="13"/>
      <c r="AI69" s="309"/>
    </row>
    <row r="70" spans="2:35" ht="15" customHeight="1">
      <c r="B70" s="627"/>
      <c r="C70" s="628"/>
      <c r="D70" s="628"/>
      <c r="E70" s="628"/>
      <c r="F70" s="628"/>
      <c r="G70" s="628"/>
      <c r="H70" s="628"/>
      <c r="I70" s="628"/>
      <c r="J70" s="628"/>
      <c r="K70" s="628"/>
      <c r="L70" s="628"/>
      <c r="M70" s="628"/>
      <c r="N70" s="628"/>
      <c r="O70" s="628"/>
      <c r="P70" s="628"/>
      <c r="Q70" s="628"/>
      <c r="R70" s="629"/>
      <c r="T70" s="10"/>
      <c r="U70" s="13" t="s">
        <v>810</v>
      </c>
      <c r="V70" s="22" t="s">
        <v>20</v>
      </c>
      <c r="W70" s="454" t="e">
        <f>W66*(W28*(1-$E$18)-W29*charFracC/fuelFracC)/1000</f>
        <v>#DIV/0!</v>
      </c>
      <c r="X70" s="400" t="s">
        <v>912</v>
      </c>
      <c r="Y70" s="377"/>
      <c r="Z70" s="378"/>
      <c r="AA70" s="459" t="e">
        <f>AA66*(AA28*(1-$E$18)-AA29*charFracC/fuelFracC)/1000</f>
        <v>#DIV/0!</v>
      </c>
      <c r="AB70" s="400" t="s">
        <v>913</v>
      </c>
      <c r="AC70" s="377"/>
      <c r="AD70" s="54"/>
      <c r="AE70" s="459" t="e">
        <f>AE66*(AP28*(1-$E$18)-AP29*charFracC/fuelFracC)/1000</f>
        <v>#DIV/0!</v>
      </c>
      <c r="AF70" s="392" t="s">
        <v>914</v>
      </c>
      <c r="AG70" s="13"/>
      <c r="AH70" s="13"/>
      <c r="AI70" s="309"/>
    </row>
    <row r="71" spans="20:35" ht="15" customHeight="1">
      <c r="T71" s="10"/>
      <c r="U71" s="13" t="s">
        <v>811</v>
      </c>
      <c r="V71" s="22" t="s">
        <v>20</v>
      </c>
      <c r="W71" s="461" t="e">
        <f>W67*(W28*(1-$E$18)-W29*charFracC/fuelFracC)/1000</f>
        <v>#DIV/0!</v>
      </c>
      <c r="X71" s="401" t="s">
        <v>909</v>
      </c>
      <c r="Y71" s="348"/>
      <c r="Z71" s="349"/>
      <c r="AA71" s="460" t="e">
        <f>AA67*(AA28*(1-$E$18)-AA29*charFracC/fuelFracC)/1000</f>
        <v>#DIV/0!</v>
      </c>
      <c r="AB71" s="401" t="s">
        <v>910</v>
      </c>
      <c r="AC71" s="348"/>
      <c r="AD71" s="347"/>
      <c r="AE71" s="460" t="e">
        <f>AE67*(AP28*(1-$E$18)-AP29*charFracC/fuelFracC)/1000</f>
        <v>#DIV/0!</v>
      </c>
      <c r="AF71" s="392" t="s">
        <v>911</v>
      </c>
      <c r="AG71" s="13"/>
      <c r="AH71" s="13"/>
      <c r="AI71" s="309"/>
    </row>
    <row r="72" spans="20:34" ht="15" customHeight="1">
      <c r="T72" s="10"/>
      <c r="U72" s="300" t="s">
        <v>949</v>
      </c>
      <c r="V72" s="13"/>
      <c r="W72" s="350"/>
      <c r="X72" s="22"/>
      <c r="Y72" s="57"/>
      <c r="Z72" s="61"/>
      <c r="AA72" s="2"/>
      <c r="AB72" s="22"/>
      <c r="AC72" s="57"/>
      <c r="AD72" s="13"/>
      <c r="AE72" s="350"/>
      <c r="AF72" s="22"/>
      <c r="AG72" s="13"/>
      <c r="AH72" s="21"/>
    </row>
    <row r="73" spans="20:34" ht="15" customHeight="1">
      <c r="T73" s="10"/>
      <c r="U73" s="13" t="s">
        <v>812</v>
      </c>
      <c r="V73" s="22" t="s">
        <v>20</v>
      </c>
      <c r="W73" s="85">
        <f>W55*(AA18-N21)*(44*'General Information'!C22)/(0.008314*(AA21+273.15))/1000000</f>
        <v>0</v>
      </c>
      <c r="X73" s="402" t="s">
        <v>915</v>
      </c>
      <c r="Y73" s="403"/>
      <c r="Z73" s="404"/>
      <c r="AA73" s="93">
        <f>AA55*(AI18-N21)*(44*'General Information'!C22)/(0.008314*(AI21+273.15))/1000000</f>
        <v>0</v>
      </c>
      <c r="AB73" s="402" t="s">
        <v>916</v>
      </c>
      <c r="AC73" s="403"/>
      <c r="AD73" s="405"/>
      <c r="AE73" s="85">
        <f>AE55*(AP18-N21)*(44*'General Information'!C22)/(0.008314*(AP21+273.15))/1000000</f>
        <v>0</v>
      </c>
      <c r="AF73" s="392" t="s">
        <v>917</v>
      </c>
      <c r="AG73" s="13"/>
      <c r="AH73" s="21"/>
    </row>
    <row r="74" spans="20:34" ht="15" customHeight="1">
      <c r="T74" s="10"/>
      <c r="U74" s="13" t="s">
        <v>810</v>
      </c>
      <c r="V74" s="22" t="s">
        <v>20</v>
      </c>
      <c r="W74" s="459">
        <f>W55*(AA19-N22)*(28*'General Information'!C22)/(0.008314*(AA21+273.15))/1000000</f>
        <v>0</v>
      </c>
      <c r="X74" s="400" t="s">
        <v>912</v>
      </c>
      <c r="Y74" s="377"/>
      <c r="Z74" s="378"/>
      <c r="AA74" s="454">
        <f>AA55*(AI19-N22)*(28*'General Information'!C22)/(0.008314*(AI21+273.15))/1000000</f>
        <v>0</v>
      </c>
      <c r="AB74" s="400" t="s">
        <v>913</v>
      </c>
      <c r="AC74" s="377"/>
      <c r="AD74" s="54"/>
      <c r="AE74" s="459">
        <f>AE55*(AP19-N22)*(28*'General Information'!C22)/(0.008314*(AP21+273.15))/1000000</f>
        <v>0</v>
      </c>
      <c r="AF74" s="392" t="s">
        <v>914</v>
      </c>
      <c r="AG74" s="13"/>
      <c r="AH74" s="21"/>
    </row>
    <row r="75" spans="20:34" ht="15" customHeight="1" thickBot="1">
      <c r="T75" s="10"/>
      <c r="U75" s="13" t="s">
        <v>811</v>
      </c>
      <c r="V75" s="22" t="s">
        <v>20</v>
      </c>
      <c r="W75" s="460">
        <f>W55*(AA20-N23)/1000000</f>
        <v>0</v>
      </c>
      <c r="X75" s="401" t="s">
        <v>909</v>
      </c>
      <c r="Y75" s="348"/>
      <c r="Z75" s="349"/>
      <c r="AA75" s="461">
        <f>AA55*(AI20-N23)/1000000</f>
        <v>0</v>
      </c>
      <c r="AB75" s="401" t="s">
        <v>910</v>
      </c>
      <c r="AC75" s="348"/>
      <c r="AD75" s="347"/>
      <c r="AE75" s="460">
        <f>AE55*(AP20-N23)/1000000</f>
        <v>0</v>
      </c>
      <c r="AF75" s="392" t="s">
        <v>911</v>
      </c>
      <c r="AG75" s="13"/>
      <c r="AH75" s="21"/>
    </row>
    <row r="76" spans="20:34" ht="15" customHeight="1" thickTop="1">
      <c r="T76" s="296"/>
      <c r="U76" s="297" t="s">
        <v>818</v>
      </c>
      <c r="V76" s="297"/>
      <c r="W76" s="351"/>
      <c r="X76" s="393"/>
      <c r="Y76" s="297"/>
      <c r="Z76" s="297"/>
      <c r="AA76" s="297"/>
      <c r="AB76" s="297"/>
      <c r="AC76" s="297"/>
      <c r="AD76" s="297"/>
      <c r="AE76" s="297"/>
      <c r="AF76" s="297"/>
      <c r="AG76" s="297"/>
      <c r="AH76" s="335"/>
    </row>
    <row r="77" spans="20:34" ht="15" customHeight="1">
      <c r="T77" s="10"/>
      <c r="U77" s="13" t="s">
        <v>819</v>
      </c>
      <c r="V77" s="13" t="s">
        <v>20</v>
      </c>
      <c r="W77" s="459" t="e">
        <f>(IF(ISERROR(AA$38),W62,AVERAGE(W62,AA62))+AE62)*5</f>
        <v>#DIV/0!</v>
      </c>
      <c r="X77" s="22" t="s">
        <v>918</v>
      </c>
      <c r="Y77" s="13"/>
      <c r="Z77" s="13"/>
      <c r="AA77" s="13"/>
      <c r="AB77" s="13"/>
      <c r="AC77" s="13"/>
      <c r="AD77" s="13"/>
      <c r="AE77" s="13"/>
      <c r="AF77" s="13"/>
      <c r="AG77" s="13"/>
      <c r="AH77" s="21"/>
    </row>
    <row r="78" spans="20:34" ht="15" customHeight="1" thickBot="1">
      <c r="T78" s="116"/>
      <c r="U78" s="117" t="s">
        <v>820</v>
      </c>
      <c r="V78" s="117" t="s">
        <v>20</v>
      </c>
      <c r="W78" s="462" t="e">
        <f>(IF(ISERROR(AA$38),W63,AVERAGE(W63,AA63))+AE63)*5</f>
        <v>#DIV/0!</v>
      </c>
      <c r="X78" s="118" t="s">
        <v>919</v>
      </c>
      <c r="Y78" s="117"/>
      <c r="Z78" s="117"/>
      <c r="AA78" s="117"/>
      <c r="AB78" s="117"/>
      <c r="AC78" s="117"/>
      <c r="AD78" s="117"/>
      <c r="AE78" s="117"/>
      <c r="AF78" s="117"/>
      <c r="AG78" s="117"/>
      <c r="AH78" s="336"/>
    </row>
    <row r="79" ht="15" customHeight="1" thickTop="1"/>
  </sheetData>
  <sheetProtection/>
  <mergeCells count="74">
    <mergeCell ref="B67:R67"/>
    <mergeCell ref="B69:R69"/>
    <mergeCell ref="B70:R70"/>
    <mergeCell ref="B59:R59"/>
    <mergeCell ref="B61:R61"/>
    <mergeCell ref="B62:R62"/>
    <mergeCell ref="B64:R64"/>
    <mergeCell ref="B65:R65"/>
    <mergeCell ref="B66:R66"/>
    <mergeCell ref="B51:R51"/>
    <mergeCell ref="B53:R53"/>
    <mergeCell ref="B54:R54"/>
    <mergeCell ref="B55:R55"/>
    <mergeCell ref="B56:R56"/>
    <mergeCell ref="B58:R58"/>
    <mergeCell ref="B43:R43"/>
    <mergeCell ref="B44:R44"/>
    <mergeCell ref="B45:R45"/>
    <mergeCell ref="B47:R47"/>
    <mergeCell ref="B48:R48"/>
    <mergeCell ref="B50:R50"/>
    <mergeCell ref="B32:R32"/>
    <mergeCell ref="B34:R34"/>
    <mergeCell ref="B35:R35"/>
    <mergeCell ref="B39:R39"/>
    <mergeCell ref="B40:R40"/>
    <mergeCell ref="B42:R42"/>
    <mergeCell ref="E25:R25"/>
    <mergeCell ref="B26:R26"/>
    <mergeCell ref="B27:R27"/>
    <mergeCell ref="B29:R29"/>
    <mergeCell ref="B30:R30"/>
    <mergeCell ref="B31:R31"/>
    <mergeCell ref="B19:D19"/>
    <mergeCell ref="K19:M19"/>
    <mergeCell ref="B20:D20"/>
    <mergeCell ref="K20:M20"/>
    <mergeCell ref="B21:D21"/>
    <mergeCell ref="B23:D23"/>
    <mergeCell ref="W16:X16"/>
    <mergeCell ref="AE16:AF16"/>
    <mergeCell ref="AL16:AM16"/>
    <mergeCell ref="E17:G17"/>
    <mergeCell ref="K17:M17"/>
    <mergeCell ref="B18:D18"/>
    <mergeCell ref="K18:M18"/>
    <mergeCell ref="D11:K11"/>
    <mergeCell ref="B14:D14"/>
    <mergeCell ref="B15:D15"/>
    <mergeCell ref="K15:M15"/>
    <mergeCell ref="B16:D16"/>
    <mergeCell ref="K16:M16"/>
    <mergeCell ref="D7:K7"/>
    <mergeCell ref="M7:P7"/>
    <mergeCell ref="D8:K8"/>
    <mergeCell ref="M8:P8"/>
    <mergeCell ref="D9:K9"/>
    <mergeCell ref="D10:K10"/>
    <mergeCell ref="AA4:AB4"/>
    <mergeCell ref="AI4:AJ4"/>
    <mergeCell ref="AL4:AM4"/>
    <mergeCell ref="AP4:AQ4"/>
    <mergeCell ref="D6:K6"/>
    <mergeCell ref="M6:P6"/>
    <mergeCell ref="A2:S2"/>
    <mergeCell ref="W2:AB2"/>
    <mergeCell ref="AE2:AJ2"/>
    <mergeCell ref="AL2:AQ2"/>
    <mergeCell ref="W3:X3"/>
    <mergeCell ref="AA3:AB3"/>
    <mergeCell ref="AE3:AF3"/>
    <mergeCell ref="AI3:AJ3"/>
    <mergeCell ref="AL3:AM3"/>
    <mergeCell ref="AP3:AQ3"/>
  </mergeCells>
  <conditionalFormatting sqref="W28:W40 AA28:AA40 AP28:AP41 AE44:AF51 W55:W75 AA55:AA75 AE55:AE75 W77:W78">
    <cfRule type="containsErrors" priority="1" dxfId="0" stopIfTrue="1">
      <formula>ISERROR(W28)</formula>
    </cfRule>
  </conditionalFormatting>
  <printOptions/>
  <pageMargins left="0.7479166666666667" right="0.7479166666666667" top="0.75" bottom="0.75" header="0.5118055555555555" footer="0.5"/>
  <pageSetup horizontalDpi="300" verticalDpi="300" orientation="landscape" scale="90" r:id="rId3"/>
  <headerFooter alignWithMargins="0">
    <oddFooter>&amp;L&amp;F&amp;C&amp;A&amp;RPage &amp;P</oddFooter>
  </headerFooter>
  <rowBreaks count="1" manualBreakCount="1">
    <brk id="37" max="255" man="1"/>
  </rowBreaks>
  <colBreaks count="2" manualBreakCount="2">
    <brk id="19" max="65535" man="1"/>
    <brk id="5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Reviewer</cp:lastModifiedBy>
  <cp:lastPrinted>2014-03-13T21:51:56Z</cp:lastPrinted>
  <dcterms:created xsi:type="dcterms:W3CDTF">2009-08-08T21:16:22Z</dcterms:created>
  <dcterms:modified xsi:type="dcterms:W3CDTF">2017-12-25T23:24:29Z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